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HĐND XÃ\AA NĂM 2026\KÝ HỌP THỨ I, NK 2026-2031\kỳ họp\"/>
    </mc:Choice>
  </mc:AlternateContent>
  <bookViews>
    <workbookView xWindow="-120" yWindow="-120" windowWidth="29040" windowHeight="15840" activeTab="1"/>
  </bookViews>
  <sheets>
    <sheet name="pl1" sheetId="2" r:id="rId1"/>
    <sheet name="PL2" sheetId="3" r:id="rId2"/>
  </sheets>
  <definedNames>
    <definedName name="_xlnm._FilterDatabase" localSheetId="0" hidden="1">'pl1'!$A$8:$FQ$42</definedName>
    <definedName name="_xlnm._FilterDatabase" localSheetId="1" hidden="1">'PL2'!$A$8:$FU$133</definedName>
    <definedName name="_xlnm.Print_Area" localSheetId="0">'pl1'!$A$1:$AE$42</definedName>
    <definedName name="_xlnm.Print_Area" localSheetId="1">'PL2'!$A$1:$AE$133</definedName>
    <definedName name="_xlnm.Print_Titles" localSheetId="0">'pl1'!$4:$7</definedName>
    <definedName name="_xlnm.Print_Titles" localSheetId="1">'PL2'!$4:$7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S133" i="3" l="1"/>
  <c r="Q133" i="3"/>
  <c r="AD132" i="3"/>
  <c r="AC132" i="3"/>
  <c r="AB132" i="3"/>
  <c r="AA132" i="3"/>
  <c r="Z132" i="3"/>
  <c r="Y132" i="3"/>
  <c r="S132" i="3"/>
  <c r="M132" i="3"/>
  <c r="K132" i="3"/>
  <c r="H132" i="3"/>
  <c r="H115" i="3" s="1"/>
  <c r="AH115" i="3" s="1"/>
  <c r="E132" i="3"/>
  <c r="AD131" i="3"/>
  <c r="AC131" i="3"/>
  <c r="AB131" i="3"/>
  <c r="AA131" i="3"/>
  <c r="Z131" i="3"/>
  <c r="S131" i="3"/>
  <c r="M131" i="3"/>
  <c r="H131" i="3"/>
  <c r="E131" i="3"/>
  <c r="AD130" i="3"/>
  <c r="AC130" i="3"/>
  <c r="AB130" i="3"/>
  <c r="AA130" i="3"/>
  <c r="Z130" i="3"/>
  <c r="Y130" i="3"/>
  <c r="S130" i="3"/>
  <c r="M130" i="3"/>
  <c r="H130" i="3"/>
  <c r="F130" i="3"/>
  <c r="F115" i="3" s="1"/>
  <c r="AD129" i="3"/>
  <c r="AB129" i="3"/>
  <c r="AA129" i="3"/>
  <c r="Z129" i="3"/>
  <c r="S129" i="3"/>
  <c r="M129" i="3"/>
  <c r="H129" i="3"/>
  <c r="K129" i="3" s="1"/>
  <c r="AC129" i="3" s="1"/>
  <c r="AH128" i="3"/>
  <c r="AD128" i="3"/>
  <c r="AB128" i="3"/>
  <c r="AA128" i="3"/>
  <c r="Z128" i="3"/>
  <c r="Y128" i="3" s="1"/>
  <c r="S128" i="3"/>
  <c r="M128" i="3"/>
  <c r="K128" i="3"/>
  <c r="AC128" i="3" s="1"/>
  <c r="H128" i="3"/>
  <c r="F128" i="3"/>
  <c r="AH127" i="3"/>
  <c r="AD127" i="3"/>
  <c r="AB127" i="3"/>
  <c r="AA127" i="3"/>
  <c r="Z127" i="3"/>
  <c r="S127" i="3"/>
  <c r="M127" i="3"/>
  <c r="K127" i="3"/>
  <c r="AC127" i="3" s="1"/>
  <c r="H127" i="3"/>
  <c r="F127" i="3"/>
  <c r="AH126" i="3"/>
  <c r="AD126" i="3"/>
  <c r="AC126" i="3"/>
  <c r="AB126" i="3"/>
  <c r="AA126" i="3"/>
  <c r="Z126" i="3"/>
  <c r="W126" i="3"/>
  <c r="S126" i="3"/>
  <c r="M126" i="3"/>
  <c r="M115" i="3" s="1"/>
  <c r="H126" i="3"/>
  <c r="F126" i="3"/>
  <c r="AH125" i="3"/>
  <c r="AD125" i="3"/>
  <c r="AB125" i="3"/>
  <c r="AA125" i="3"/>
  <c r="Z125" i="3"/>
  <c r="M125" i="3"/>
  <c r="H125" i="3"/>
  <c r="K125" i="3" s="1"/>
  <c r="E125" i="3"/>
  <c r="AH124" i="3"/>
  <c r="AD124" i="3"/>
  <c r="AB124" i="3"/>
  <c r="AA124" i="3"/>
  <c r="Z124" i="3"/>
  <c r="M124" i="3"/>
  <c r="H124" i="3"/>
  <c r="K124" i="3" s="1"/>
  <c r="E124" i="3"/>
  <c r="AD123" i="3"/>
  <c r="AB123" i="3"/>
  <c r="AA123" i="3"/>
  <c r="Z123" i="3"/>
  <c r="S123" i="3"/>
  <c r="M123" i="3"/>
  <c r="H123" i="3"/>
  <c r="E123" i="3"/>
  <c r="E115" i="3" s="1"/>
  <c r="AD122" i="3"/>
  <c r="AB122" i="3"/>
  <c r="AA122" i="3"/>
  <c r="Z122" i="3"/>
  <c r="S122" i="3"/>
  <c r="M122" i="3"/>
  <c r="H122" i="3"/>
  <c r="E122" i="3"/>
  <c r="AD121" i="3"/>
  <c r="AB121" i="3"/>
  <c r="AA121" i="3"/>
  <c r="Z121" i="3"/>
  <c r="W121" i="3"/>
  <c r="M121" i="3"/>
  <c r="H121" i="3"/>
  <c r="AH121" i="3" s="1"/>
  <c r="E121" i="3"/>
  <c r="AD120" i="3"/>
  <c r="AB120" i="3"/>
  <c r="AA120" i="3"/>
  <c r="Z120" i="3"/>
  <c r="Y120" i="3" s="1"/>
  <c r="S120" i="3"/>
  <c r="M120" i="3"/>
  <c r="K120" i="3"/>
  <c r="AC120" i="3" s="1"/>
  <c r="H120" i="3"/>
  <c r="G120" i="3"/>
  <c r="AH120" i="3" s="1"/>
  <c r="F120" i="3"/>
  <c r="AH119" i="3"/>
  <c r="AD119" i="3"/>
  <c r="AB119" i="3"/>
  <c r="AA119" i="3"/>
  <c r="Z119" i="3"/>
  <c r="S119" i="3"/>
  <c r="M119" i="3"/>
  <c r="K119" i="3"/>
  <c r="AC119" i="3" s="1"/>
  <c r="H119" i="3"/>
  <c r="AD118" i="3"/>
  <c r="AB118" i="3"/>
  <c r="AA118" i="3"/>
  <c r="Z118" i="3"/>
  <c r="S118" i="3"/>
  <c r="M118" i="3"/>
  <c r="H118" i="3"/>
  <c r="AH118" i="3" s="1"/>
  <c r="AH117" i="3"/>
  <c r="AD117" i="3"/>
  <c r="AC117" i="3"/>
  <c r="AB117" i="3"/>
  <c r="Y117" i="3" s="1"/>
  <c r="AA117" i="3"/>
  <c r="Z117" i="3"/>
  <c r="S117" i="3"/>
  <c r="Q117" i="3"/>
  <c r="M117" i="3"/>
  <c r="E117" i="3"/>
  <c r="AH116" i="3"/>
  <c r="AD116" i="3"/>
  <c r="AC116" i="3"/>
  <c r="AB116" i="3"/>
  <c r="AA116" i="3"/>
  <c r="Z116" i="3"/>
  <c r="S116" i="3"/>
  <c r="M116" i="3"/>
  <c r="H116" i="3"/>
  <c r="E116" i="3"/>
  <c r="AF115" i="3"/>
  <c r="AE115" i="3"/>
  <c r="X115" i="3"/>
  <c r="V115" i="3"/>
  <c r="U115" i="3"/>
  <c r="T115" i="3"/>
  <c r="R115" i="3"/>
  <c r="Q115" i="3"/>
  <c r="P115" i="3"/>
  <c r="O115" i="3"/>
  <c r="N115" i="3"/>
  <c r="L115" i="3"/>
  <c r="J115" i="3"/>
  <c r="I115" i="3"/>
  <c r="G115" i="3"/>
  <c r="AH114" i="3"/>
  <c r="AD114" i="3"/>
  <c r="AB114" i="3"/>
  <c r="AA114" i="3"/>
  <c r="Z114" i="3"/>
  <c r="S114" i="3"/>
  <c r="M114" i="3"/>
  <c r="K114" i="3"/>
  <c r="AC114" i="3" s="1"/>
  <c r="H114" i="3"/>
  <c r="AH113" i="3"/>
  <c r="AD113" i="3"/>
  <c r="AB113" i="3"/>
  <c r="AA113" i="3"/>
  <c r="Z113" i="3"/>
  <c r="Y113" i="3" s="1"/>
  <c r="W113" i="3"/>
  <c r="AC113" i="3" s="1"/>
  <c r="S113" i="3"/>
  <c r="M113" i="3"/>
  <c r="G113" i="3"/>
  <c r="AD112" i="3"/>
  <c r="AB112" i="3"/>
  <c r="AA112" i="3"/>
  <c r="Z112" i="3"/>
  <c r="S112" i="3"/>
  <c r="M112" i="3"/>
  <c r="H112" i="3"/>
  <c r="AH112" i="3" s="1"/>
  <c r="E112" i="3"/>
  <c r="AD111" i="3"/>
  <c r="AB111" i="3"/>
  <c r="AA111" i="3"/>
  <c r="Z111" i="3"/>
  <c r="S111" i="3"/>
  <c r="M111" i="3"/>
  <c r="K111" i="3"/>
  <c r="AC111" i="3" s="1"/>
  <c r="H111" i="3"/>
  <c r="AH111" i="3" s="1"/>
  <c r="E111" i="3"/>
  <c r="AD110" i="3"/>
  <c r="AB110" i="3"/>
  <c r="AA110" i="3"/>
  <c r="Z110" i="3"/>
  <c r="S110" i="3"/>
  <c r="M110" i="3"/>
  <c r="H110" i="3"/>
  <c r="E110" i="3"/>
  <c r="AD109" i="3"/>
  <c r="AB109" i="3"/>
  <c r="AA109" i="3"/>
  <c r="Z109" i="3"/>
  <c r="S109" i="3"/>
  <c r="M109" i="3"/>
  <c r="H109" i="3"/>
  <c r="AH109" i="3" s="1"/>
  <c r="E109" i="3"/>
  <c r="AD108" i="3"/>
  <c r="AB108" i="3"/>
  <c r="AA108" i="3"/>
  <c r="Z108" i="3"/>
  <c r="S108" i="3"/>
  <c r="M108" i="3"/>
  <c r="H108" i="3"/>
  <c r="AH108" i="3" s="1"/>
  <c r="E108" i="3"/>
  <c r="AD107" i="3"/>
  <c r="AB107" i="3"/>
  <c r="AA107" i="3"/>
  <c r="Z107" i="3"/>
  <c r="Y107" i="3" s="1"/>
  <c r="S107" i="3"/>
  <c r="M107" i="3"/>
  <c r="K107" i="3"/>
  <c r="AC107" i="3" s="1"/>
  <c r="H107" i="3"/>
  <c r="AH107" i="3" s="1"/>
  <c r="E107" i="3"/>
  <c r="AD106" i="3"/>
  <c r="AB106" i="3"/>
  <c r="AA106" i="3"/>
  <c r="Z106" i="3"/>
  <c r="W106" i="3"/>
  <c r="S106" i="3"/>
  <c r="M106" i="3"/>
  <c r="K106" i="3"/>
  <c r="AC106" i="3" s="1"/>
  <c r="Y106" i="3" s="1"/>
  <c r="H106" i="3"/>
  <c r="AH106" i="3" s="1"/>
  <c r="E106" i="3"/>
  <c r="AH105" i="3"/>
  <c r="AD105" i="3"/>
  <c r="AD87" i="3" s="1"/>
  <c r="AB105" i="3"/>
  <c r="AA105" i="3"/>
  <c r="Z105" i="3"/>
  <c r="W105" i="3"/>
  <c r="AC105" i="3" s="1"/>
  <c r="S105" i="3"/>
  <c r="M105" i="3"/>
  <c r="E105" i="3"/>
  <c r="AH104" i="3"/>
  <c r="AD104" i="3"/>
  <c r="AC104" i="3"/>
  <c r="AB104" i="3"/>
  <c r="AA104" i="3"/>
  <c r="Z104" i="3"/>
  <c r="Y104" i="3" s="1"/>
  <c r="S104" i="3"/>
  <c r="M104" i="3"/>
  <c r="E104" i="3"/>
  <c r="AH103" i="3"/>
  <c r="AD103" i="3"/>
  <c r="AB103" i="3"/>
  <c r="AA103" i="3"/>
  <c r="Z103" i="3"/>
  <c r="W103" i="3"/>
  <c r="AC103" i="3" s="1"/>
  <c r="M103" i="3"/>
  <c r="E103" i="3"/>
  <c r="AD102" i="3"/>
  <c r="AB102" i="3"/>
  <c r="AA102" i="3"/>
  <c r="Z102" i="3"/>
  <c r="S102" i="3"/>
  <c r="M102" i="3"/>
  <c r="G102" i="3"/>
  <c r="H102" i="3" s="1"/>
  <c r="K102" i="3" s="1"/>
  <c r="AC102" i="3" s="1"/>
  <c r="E102" i="3"/>
  <c r="E87" i="3" s="1"/>
  <c r="AD101" i="3"/>
  <c r="AB101" i="3"/>
  <c r="AA101" i="3"/>
  <c r="Z101" i="3"/>
  <c r="S101" i="3"/>
  <c r="M101" i="3"/>
  <c r="G101" i="3"/>
  <c r="AD100" i="3"/>
  <c r="AB100" i="3"/>
  <c r="AA100" i="3"/>
  <c r="Z100" i="3"/>
  <c r="S100" i="3"/>
  <c r="M100" i="3"/>
  <c r="G100" i="3"/>
  <c r="AH99" i="3"/>
  <c r="AD99" i="3"/>
  <c r="AB99" i="3"/>
  <c r="AA99" i="3"/>
  <c r="Z99" i="3"/>
  <c r="S99" i="3"/>
  <c r="M99" i="3"/>
  <c r="K99" i="3"/>
  <c r="AC99" i="3" s="1"/>
  <c r="H99" i="3"/>
  <c r="AH98" i="3"/>
  <c r="AD98" i="3"/>
  <c r="AC98" i="3"/>
  <c r="AB98" i="3"/>
  <c r="AA98" i="3"/>
  <c r="Z98" i="3"/>
  <c r="S98" i="3"/>
  <c r="M98" i="3"/>
  <c r="AD97" i="3"/>
  <c r="AB97" i="3"/>
  <c r="AA97" i="3"/>
  <c r="Z97" i="3"/>
  <c r="S97" i="3"/>
  <c r="M97" i="3"/>
  <c r="G97" i="3"/>
  <c r="AD96" i="3"/>
  <c r="AB96" i="3"/>
  <c r="AA96" i="3"/>
  <c r="Z96" i="3"/>
  <c r="S96" i="3"/>
  <c r="M96" i="3"/>
  <c r="G96" i="3"/>
  <c r="AD95" i="3"/>
  <c r="AB95" i="3"/>
  <c r="AA95" i="3"/>
  <c r="Z95" i="3"/>
  <c r="M95" i="3"/>
  <c r="H95" i="3"/>
  <c r="G95" i="3"/>
  <c r="AH95" i="3" s="1"/>
  <c r="AH94" i="3"/>
  <c r="AD94" i="3"/>
  <c r="AC94" i="3"/>
  <c r="AB94" i="3"/>
  <c r="AA94" i="3"/>
  <c r="Y94" i="3" s="1"/>
  <c r="Z94" i="3"/>
  <c r="S94" i="3"/>
  <c r="M94" i="3"/>
  <c r="AD93" i="3"/>
  <c r="AB93" i="3"/>
  <c r="AA93" i="3"/>
  <c r="Z93" i="3"/>
  <c r="S93" i="3"/>
  <c r="M93" i="3"/>
  <c r="H93" i="3"/>
  <c r="G93" i="3"/>
  <c r="AD92" i="3"/>
  <c r="AB92" i="3"/>
  <c r="AA92" i="3"/>
  <c r="Z92" i="3"/>
  <c r="S92" i="3"/>
  <c r="M92" i="3"/>
  <c r="G92" i="3"/>
  <c r="AH91" i="3"/>
  <c r="AD91" i="3"/>
  <c r="AB91" i="3"/>
  <c r="AA91" i="3"/>
  <c r="Z91" i="3"/>
  <c r="W91" i="3"/>
  <c r="M91" i="3"/>
  <c r="AH90" i="3"/>
  <c r="AD90" i="3"/>
  <c r="AC90" i="3"/>
  <c r="AB90" i="3"/>
  <c r="AA90" i="3"/>
  <c r="Z90" i="3"/>
  <c r="Y90" i="3" s="1"/>
  <c r="S90" i="3"/>
  <c r="M90" i="3"/>
  <c r="AH89" i="3"/>
  <c r="AD89" i="3"/>
  <c r="AC89" i="3"/>
  <c r="AB89" i="3"/>
  <c r="AA89" i="3"/>
  <c r="Z89" i="3"/>
  <c r="S89" i="3"/>
  <c r="M89" i="3"/>
  <c r="M87" i="3" s="1"/>
  <c r="AH88" i="3"/>
  <c r="AD88" i="3"/>
  <c r="AC88" i="3"/>
  <c r="AB88" i="3"/>
  <c r="Y88" i="3" s="1"/>
  <c r="AA88" i="3"/>
  <c r="Z88" i="3"/>
  <c r="S88" i="3"/>
  <c r="M88" i="3"/>
  <c r="AE87" i="3"/>
  <c r="X87" i="3"/>
  <c r="V87" i="3"/>
  <c r="V9" i="3" s="1"/>
  <c r="U87" i="3"/>
  <c r="T87" i="3"/>
  <c r="R87" i="3"/>
  <c r="R9" i="3" s="1"/>
  <c r="Q87" i="3"/>
  <c r="P87" i="3"/>
  <c r="O87" i="3"/>
  <c r="O9" i="3" s="1"/>
  <c r="N87" i="3"/>
  <c r="N9" i="3" s="1"/>
  <c r="L87" i="3"/>
  <c r="J87" i="3"/>
  <c r="J9" i="3" s="1"/>
  <c r="I87" i="3"/>
  <c r="F87" i="3"/>
  <c r="AD86" i="3"/>
  <c r="AC86" i="3"/>
  <c r="AB86" i="3"/>
  <c r="AA86" i="3"/>
  <c r="Z86" i="3"/>
  <c r="Y86" i="3"/>
  <c r="S86" i="3"/>
  <c r="M86" i="3"/>
  <c r="K86" i="3"/>
  <c r="H86" i="3"/>
  <c r="AH86" i="3" s="1"/>
  <c r="AD85" i="3"/>
  <c r="AC85" i="3"/>
  <c r="AB85" i="3"/>
  <c r="Y85" i="3" s="1"/>
  <c r="AA85" i="3"/>
  <c r="Z85" i="3"/>
  <c r="S85" i="3"/>
  <c r="M85" i="3"/>
  <c r="K85" i="3"/>
  <c r="H85" i="3"/>
  <c r="AH85" i="3" s="1"/>
  <c r="AH84" i="3"/>
  <c r="AD84" i="3"/>
  <c r="AC84" i="3"/>
  <c r="AB84" i="3"/>
  <c r="AA84" i="3"/>
  <c r="Y84" i="3" s="1"/>
  <c r="Z84" i="3"/>
  <c r="S84" i="3"/>
  <c r="M84" i="3"/>
  <c r="K84" i="3"/>
  <c r="H84" i="3"/>
  <c r="AD83" i="3"/>
  <c r="AB83" i="3"/>
  <c r="AA83" i="3"/>
  <c r="Z83" i="3"/>
  <c r="S83" i="3"/>
  <c r="M83" i="3"/>
  <c r="K83" i="3"/>
  <c r="AD82" i="3"/>
  <c r="AC82" i="3"/>
  <c r="AB82" i="3"/>
  <c r="AA82" i="3"/>
  <c r="Z82" i="3"/>
  <c r="Y82" i="3"/>
  <c r="S82" i="3"/>
  <c r="M82" i="3"/>
  <c r="K82" i="3"/>
  <c r="H82" i="3"/>
  <c r="AH82" i="3" s="1"/>
  <c r="AD81" i="3"/>
  <c r="AB81" i="3"/>
  <c r="AA81" i="3"/>
  <c r="Z81" i="3"/>
  <c r="W81" i="3"/>
  <c r="S81" i="3" s="1"/>
  <c r="M81" i="3"/>
  <c r="K81" i="3"/>
  <c r="AC81" i="3" s="1"/>
  <c r="Y81" i="3" s="1"/>
  <c r="AD80" i="3"/>
  <c r="AC80" i="3"/>
  <c r="AB80" i="3"/>
  <c r="Y80" i="3" s="1"/>
  <c r="AA80" i="3"/>
  <c r="Z80" i="3"/>
  <c r="S80" i="3"/>
  <c r="M80" i="3"/>
  <c r="K80" i="3"/>
  <c r="H80" i="3"/>
  <c r="AH80" i="3" s="1"/>
  <c r="E80" i="3"/>
  <c r="AH79" i="3"/>
  <c r="AD79" i="3"/>
  <c r="AC79" i="3"/>
  <c r="AB79" i="3"/>
  <c r="Y79" i="3" s="1"/>
  <c r="AA79" i="3"/>
  <c r="Z79" i="3"/>
  <c r="S79" i="3"/>
  <c r="M79" i="3"/>
  <c r="AH78" i="3"/>
  <c r="AD78" i="3"/>
  <c r="AC78" i="3"/>
  <c r="AB78" i="3"/>
  <c r="AA78" i="3"/>
  <c r="Z78" i="3"/>
  <c r="Y78" i="3"/>
  <c r="M78" i="3"/>
  <c r="K78" i="3"/>
  <c r="W78" i="3" s="1"/>
  <c r="S78" i="3" s="1"/>
  <c r="H78" i="3"/>
  <c r="E78" i="3"/>
  <c r="AH77" i="3"/>
  <c r="AD77" i="3"/>
  <c r="AB77" i="3"/>
  <c r="AA77" i="3"/>
  <c r="Z77" i="3"/>
  <c r="M77" i="3"/>
  <c r="H77" i="3"/>
  <c r="K77" i="3" s="1"/>
  <c r="E77" i="3"/>
  <c r="AD76" i="3"/>
  <c r="AB76" i="3"/>
  <c r="AA76" i="3"/>
  <c r="Z76" i="3"/>
  <c r="M76" i="3"/>
  <c r="G76" i="3"/>
  <c r="K76" i="3" s="1"/>
  <c r="AD75" i="3"/>
  <c r="AC75" i="3"/>
  <c r="AB75" i="3"/>
  <c r="AA75" i="3"/>
  <c r="Z75" i="3"/>
  <c r="Y75" i="3"/>
  <c r="S75" i="3"/>
  <c r="M75" i="3"/>
  <c r="K75" i="3"/>
  <c r="H75" i="3"/>
  <c r="AH75" i="3" s="1"/>
  <c r="AH74" i="3"/>
  <c r="AD74" i="3"/>
  <c r="AC74" i="3"/>
  <c r="AB74" i="3"/>
  <c r="AA74" i="3"/>
  <c r="Z74" i="3"/>
  <c r="S74" i="3"/>
  <c r="M74" i="3"/>
  <c r="K74" i="3"/>
  <c r="H74" i="3"/>
  <c r="AD73" i="3"/>
  <c r="AC73" i="3"/>
  <c r="AB73" i="3"/>
  <c r="AA73" i="3"/>
  <c r="Z73" i="3"/>
  <c r="Y73" i="3" s="1"/>
  <c r="S73" i="3"/>
  <c r="M73" i="3"/>
  <c r="G73" i="3"/>
  <c r="AH73" i="3" s="1"/>
  <c r="AD72" i="3"/>
  <c r="AC72" i="3"/>
  <c r="AB72" i="3"/>
  <c r="Y72" i="3" s="1"/>
  <c r="AA72" i="3"/>
  <c r="Z72" i="3"/>
  <c r="S72" i="3"/>
  <c r="M72" i="3"/>
  <c r="G72" i="3"/>
  <c r="AH72" i="3" s="1"/>
  <c r="AD71" i="3"/>
  <c r="AC71" i="3"/>
  <c r="AB71" i="3"/>
  <c r="AA71" i="3"/>
  <c r="Z71" i="3"/>
  <c r="Y71" i="3" s="1"/>
  <c r="S71" i="3"/>
  <c r="M71" i="3"/>
  <c r="G71" i="3"/>
  <c r="AH71" i="3" s="1"/>
  <c r="AD70" i="3"/>
  <c r="AC70" i="3"/>
  <c r="AB70" i="3"/>
  <c r="AA70" i="3"/>
  <c r="Z70" i="3"/>
  <c r="Y70" i="3"/>
  <c r="S70" i="3"/>
  <c r="M70" i="3"/>
  <c r="G70" i="3"/>
  <c r="AH70" i="3" s="1"/>
  <c r="AD69" i="3"/>
  <c r="AC69" i="3"/>
  <c r="AB69" i="3"/>
  <c r="AA69" i="3"/>
  <c r="Z69" i="3"/>
  <c r="S69" i="3"/>
  <c r="M69" i="3"/>
  <c r="G69" i="3"/>
  <c r="AH69" i="3" s="1"/>
  <c r="AD68" i="3"/>
  <c r="AC68" i="3"/>
  <c r="AB68" i="3"/>
  <c r="Y68" i="3" s="1"/>
  <c r="AA68" i="3"/>
  <c r="Z68" i="3"/>
  <c r="S68" i="3"/>
  <c r="M68" i="3"/>
  <c r="G68" i="3"/>
  <c r="AH68" i="3" s="1"/>
  <c r="AD67" i="3"/>
  <c r="AC67" i="3"/>
  <c r="AB67" i="3"/>
  <c r="AA67" i="3"/>
  <c r="Z67" i="3"/>
  <c r="Y67" i="3" s="1"/>
  <c r="S67" i="3"/>
  <c r="M67" i="3"/>
  <c r="G67" i="3"/>
  <c r="AH67" i="3" s="1"/>
  <c r="AD66" i="3"/>
  <c r="AC66" i="3"/>
  <c r="AB66" i="3"/>
  <c r="Y66" i="3" s="1"/>
  <c r="AA66" i="3"/>
  <c r="Z66" i="3"/>
  <c r="S66" i="3"/>
  <c r="M66" i="3"/>
  <c r="G66" i="3"/>
  <c r="AH66" i="3" s="1"/>
  <c r="AD65" i="3"/>
  <c r="AC65" i="3"/>
  <c r="AB65" i="3"/>
  <c r="AA65" i="3"/>
  <c r="Z65" i="3"/>
  <c r="Y65" i="3" s="1"/>
  <c r="S65" i="3"/>
  <c r="M65" i="3"/>
  <c r="G65" i="3"/>
  <c r="AH65" i="3" s="1"/>
  <c r="AD64" i="3"/>
  <c r="AC64" i="3"/>
  <c r="AB64" i="3"/>
  <c r="Y64" i="3" s="1"/>
  <c r="AA64" i="3"/>
  <c r="Z64" i="3"/>
  <c r="S64" i="3"/>
  <c r="M64" i="3"/>
  <c r="G64" i="3"/>
  <c r="AH64" i="3" s="1"/>
  <c r="AH63" i="3"/>
  <c r="AD63" i="3"/>
  <c r="AC63" i="3"/>
  <c r="AB63" i="3"/>
  <c r="AA63" i="3"/>
  <c r="Z63" i="3"/>
  <c r="Y63" i="3" s="1"/>
  <c r="S63" i="3"/>
  <c r="M63" i="3"/>
  <c r="AH62" i="3"/>
  <c r="AD62" i="3"/>
  <c r="AB62" i="3"/>
  <c r="AA62" i="3"/>
  <c r="Y62" i="3" s="1"/>
  <c r="Z62" i="3"/>
  <c r="W62" i="3"/>
  <c r="AC62" i="3" s="1"/>
  <c r="S62" i="3"/>
  <c r="M62" i="3"/>
  <c r="G62" i="3"/>
  <c r="AH61" i="3"/>
  <c r="AD61" i="3"/>
  <c r="AB61" i="3"/>
  <c r="AA61" i="3"/>
  <c r="Z61" i="3"/>
  <c r="W61" i="3"/>
  <c r="AC61" i="3" s="1"/>
  <c r="S61" i="3"/>
  <c r="M61" i="3"/>
  <c r="G61" i="3"/>
  <c r="AD60" i="3"/>
  <c r="AC60" i="3"/>
  <c r="AB60" i="3"/>
  <c r="AA60" i="3"/>
  <c r="Z60" i="3"/>
  <c r="Y60" i="3"/>
  <c r="S60" i="3"/>
  <c r="M60" i="3"/>
  <c r="K60" i="3"/>
  <c r="H60" i="3"/>
  <c r="AH60" i="3" s="1"/>
  <c r="AD59" i="3"/>
  <c r="AC59" i="3"/>
  <c r="AB59" i="3"/>
  <c r="Y59" i="3" s="1"/>
  <c r="AA59" i="3"/>
  <c r="Z59" i="3"/>
  <c r="S59" i="3"/>
  <c r="M59" i="3"/>
  <c r="K59" i="3"/>
  <c r="H59" i="3"/>
  <c r="AH59" i="3" s="1"/>
  <c r="AD58" i="3"/>
  <c r="AB58" i="3"/>
  <c r="AA58" i="3"/>
  <c r="Z58" i="3"/>
  <c r="S58" i="3"/>
  <c r="M58" i="3"/>
  <c r="G58" i="3"/>
  <c r="AD57" i="3"/>
  <c r="AB57" i="3"/>
  <c r="AA57" i="3"/>
  <c r="Z57" i="3"/>
  <c r="S57" i="3"/>
  <c r="M57" i="3"/>
  <c r="G57" i="3"/>
  <c r="AD56" i="3"/>
  <c r="AB56" i="3"/>
  <c r="AA56" i="3"/>
  <c r="Z56" i="3"/>
  <c r="S56" i="3"/>
  <c r="M56" i="3"/>
  <c r="G56" i="3"/>
  <c r="AD55" i="3"/>
  <c r="AB55" i="3"/>
  <c r="AA55" i="3"/>
  <c r="Z55" i="3"/>
  <c r="S55" i="3"/>
  <c r="M55" i="3"/>
  <c r="G55" i="3"/>
  <c r="AD54" i="3"/>
  <c r="AB54" i="3"/>
  <c r="AA54" i="3"/>
  <c r="Z54" i="3"/>
  <c r="S54" i="3"/>
  <c r="M54" i="3"/>
  <c r="G54" i="3"/>
  <c r="AD53" i="3"/>
  <c r="AB53" i="3"/>
  <c r="AA53" i="3"/>
  <c r="Z53" i="3"/>
  <c r="S53" i="3"/>
  <c r="M53" i="3"/>
  <c r="G53" i="3"/>
  <c r="AD52" i="3"/>
  <c r="AB52" i="3"/>
  <c r="AA52" i="3"/>
  <c r="Z52" i="3"/>
  <c r="S52" i="3"/>
  <c r="M52" i="3"/>
  <c r="G52" i="3"/>
  <c r="AD51" i="3"/>
  <c r="AB51" i="3"/>
  <c r="AA51" i="3"/>
  <c r="Z51" i="3"/>
  <c r="S51" i="3"/>
  <c r="M51" i="3"/>
  <c r="G51" i="3"/>
  <c r="AD50" i="3"/>
  <c r="AB50" i="3"/>
  <c r="AA50" i="3"/>
  <c r="Y50" i="3" s="1"/>
  <c r="Z50" i="3"/>
  <c r="S50" i="3"/>
  <c r="M50" i="3"/>
  <c r="G50" i="3"/>
  <c r="K50" i="3" s="1"/>
  <c r="AC50" i="3" s="1"/>
  <c r="AD49" i="3"/>
  <c r="AB49" i="3"/>
  <c r="AA49" i="3"/>
  <c r="Y49" i="3" s="1"/>
  <c r="Z49" i="3"/>
  <c r="S49" i="3"/>
  <c r="M49" i="3"/>
  <c r="H49" i="3"/>
  <c r="AH49" i="3" s="1"/>
  <c r="G49" i="3"/>
  <c r="K49" i="3" s="1"/>
  <c r="AC49" i="3" s="1"/>
  <c r="AD48" i="3"/>
  <c r="AB48" i="3"/>
  <c r="AA48" i="3"/>
  <c r="Z48" i="3"/>
  <c r="S48" i="3"/>
  <c r="M48" i="3"/>
  <c r="G48" i="3"/>
  <c r="AD47" i="3"/>
  <c r="AC47" i="3"/>
  <c r="AB47" i="3"/>
  <c r="AA47" i="3"/>
  <c r="Z47" i="3"/>
  <c r="Y47" i="3"/>
  <c r="S47" i="3"/>
  <c r="M47" i="3"/>
  <c r="K47" i="3"/>
  <c r="H47" i="3"/>
  <c r="AH47" i="3" s="1"/>
  <c r="AD46" i="3"/>
  <c r="AB46" i="3"/>
  <c r="AA46" i="3"/>
  <c r="Z46" i="3"/>
  <c r="S46" i="3"/>
  <c r="M46" i="3"/>
  <c r="G46" i="3"/>
  <c r="AH45" i="3"/>
  <c r="AD45" i="3"/>
  <c r="AC45" i="3"/>
  <c r="AB45" i="3"/>
  <c r="AA45" i="3"/>
  <c r="Z45" i="3"/>
  <c r="S45" i="3"/>
  <c r="M45" i="3"/>
  <c r="AH44" i="3"/>
  <c r="AD44" i="3"/>
  <c r="AC44" i="3"/>
  <c r="Y44" i="3" s="1"/>
  <c r="AB44" i="3"/>
  <c r="AA44" i="3"/>
  <c r="Z44" i="3"/>
  <c r="S44" i="3"/>
  <c r="M44" i="3"/>
  <c r="AH43" i="3"/>
  <c r="AD43" i="3"/>
  <c r="AC43" i="3"/>
  <c r="AB43" i="3"/>
  <c r="AA43" i="3"/>
  <c r="Z43" i="3"/>
  <c r="Y43" i="3" s="1"/>
  <c r="S43" i="3"/>
  <c r="M43" i="3"/>
  <c r="AH42" i="3"/>
  <c r="AD42" i="3"/>
  <c r="AC42" i="3"/>
  <c r="AB42" i="3"/>
  <c r="AA42" i="3"/>
  <c r="Z42" i="3"/>
  <c r="S42" i="3"/>
  <c r="M42" i="3"/>
  <c r="AH41" i="3"/>
  <c r="AD41" i="3"/>
  <c r="AB41" i="3"/>
  <c r="AA41" i="3"/>
  <c r="Z41" i="3"/>
  <c r="S41" i="3"/>
  <c r="M41" i="3"/>
  <c r="G41" i="3"/>
  <c r="H41" i="3" s="1"/>
  <c r="K41" i="3" s="1"/>
  <c r="AC41" i="3" s="1"/>
  <c r="AH40" i="3"/>
  <c r="AD40" i="3"/>
  <c r="AC40" i="3"/>
  <c r="AB40" i="3"/>
  <c r="AA40" i="3"/>
  <c r="Y40" i="3" s="1"/>
  <c r="Z40" i="3"/>
  <c r="S40" i="3"/>
  <c r="M40" i="3"/>
  <c r="AH39" i="3"/>
  <c r="AD39" i="3"/>
  <c r="AC39" i="3"/>
  <c r="AB39" i="3"/>
  <c r="Y39" i="3" s="1"/>
  <c r="AA39" i="3"/>
  <c r="Z39" i="3"/>
  <c r="S39" i="3"/>
  <c r="M39" i="3"/>
  <c r="AH38" i="3"/>
  <c r="AD38" i="3"/>
  <c r="AC38" i="3"/>
  <c r="AB38" i="3"/>
  <c r="AA38" i="3"/>
  <c r="Z38" i="3"/>
  <c r="Y38" i="3"/>
  <c r="S38" i="3"/>
  <c r="M38" i="3"/>
  <c r="AD37" i="3"/>
  <c r="AB37" i="3"/>
  <c r="AA37" i="3"/>
  <c r="Z37" i="3"/>
  <c r="S37" i="3"/>
  <c r="M37" i="3"/>
  <c r="M10" i="3" s="1"/>
  <c r="K37" i="3"/>
  <c r="AC37" i="3" s="1"/>
  <c r="G37" i="3"/>
  <c r="H37" i="3" s="1"/>
  <c r="AH37" i="3" s="1"/>
  <c r="AD36" i="3"/>
  <c r="AB36" i="3"/>
  <c r="AA36" i="3"/>
  <c r="Z36" i="3"/>
  <c r="S36" i="3"/>
  <c r="M36" i="3"/>
  <c r="K36" i="3"/>
  <c r="AC36" i="3" s="1"/>
  <c r="G36" i="3"/>
  <c r="H36" i="3" s="1"/>
  <c r="AH36" i="3" s="1"/>
  <c r="AH35" i="3"/>
  <c r="AD35" i="3"/>
  <c r="AC35" i="3"/>
  <c r="AB35" i="3"/>
  <c r="AA35" i="3"/>
  <c r="Z35" i="3"/>
  <c r="S35" i="3"/>
  <c r="M35" i="3"/>
  <c r="AD34" i="3"/>
  <c r="AB34" i="3"/>
  <c r="AA34" i="3"/>
  <c r="Z34" i="3"/>
  <c r="S34" i="3"/>
  <c r="M34" i="3"/>
  <c r="F34" i="3"/>
  <c r="G34" i="3" s="1"/>
  <c r="H34" i="3" s="1"/>
  <c r="AD33" i="3"/>
  <c r="AC33" i="3"/>
  <c r="AB33" i="3"/>
  <c r="AA33" i="3"/>
  <c r="Z33" i="3"/>
  <c r="Y33" i="3" s="1"/>
  <c r="S33" i="3"/>
  <c r="M33" i="3"/>
  <c r="AH32" i="3"/>
  <c r="AD32" i="3"/>
  <c r="AB32" i="3"/>
  <c r="AA32" i="3"/>
  <c r="Z32" i="3"/>
  <c r="S32" i="3"/>
  <c r="M32" i="3"/>
  <c r="G32" i="3"/>
  <c r="H32" i="3" s="1"/>
  <c r="K32" i="3" s="1"/>
  <c r="AC32" i="3" s="1"/>
  <c r="F32" i="3"/>
  <c r="AD31" i="3"/>
  <c r="AB31" i="3"/>
  <c r="AA31" i="3"/>
  <c r="Z31" i="3"/>
  <c r="S31" i="3"/>
  <c r="M31" i="3"/>
  <c r="H31" i="3"/>
  <c r="K31" i="3" s="1"/>
  <c r="AC31" i="3" s="1"/>
  <c r="Y31" i="3" s="1"/>
  <c r="G31" i="3"/>
  <c r="AD30" i="3"/>
  <c r="AB30" i="3"/>
  <c r="AA30" i="3"/>
  <c r="Z30" i="3"/>
  <c r="S30" i="3"/>
  <c r="M30" i="3"/>
  <c r="H30" i="3"/>
  <c r="AH29" i="3"/>
  <c r="AD29" i="3"/>
  <c r="AB29" i="3"/>
  <c r="AA29" i="3"/>
  <c r="Z29" i="3"/>
  <c r="S29" i="3"/>
  <c r="M29" i="3"/>
  <c r="G29" i="3"/>
  <c r="H29" i="3" s="1"/>
  <c r="K29" i="3" s="1"/>
  <c r="AC29" i="3" s="1"/>
  <c r="F29" i="3"/>
  <c r="E29" i="3" s="1"/>
  <c r="AD28" i="3"/>
  <c r="AB28" i="3"/>
  <c r="AA28" i="3"/>
  <c r="Z28" i="3"/>
  <c r="Y28" i="3" s="1"/>
  <c r="S28" i="3"/>
  <c r="M28" i="3"/>
  <c r="K28" i="3"/>
  <c r="AC28" i="3" s="1"/>
  <c r="H28" i="3"/>
  <c r="AH28" i="3" s="1"/>
  <c r="G28" i="3"/>
  <c r="AD27" i="3"/>
  <c r="AB27" i="3"/>
  <c r="AA27" i="3"/>
  <c r="Z27" i="3"/>
  <c r="S27" i="3"/>
  <c r="M27" i="3"/>
  <c r="H27" i="3"/>
  <c r="AH27" i="3" s="1"/>
  <c r="G27" i="3"/>
  <c r="AD26" i="3"/>
  <c r="AB26" i="3"/>
  <c r="AA26" i="3"/>
  <c r="Z26" i="3"/>
  <c r="S26" i="3"/>
  <c r="M26" i="3"/>
  <c r="H26" i="3"/>
  <c r="AH26" i="3" s="1"/>
  <c r="G26" i="3"/>
  <c r="AD25" i="3"/>
  <c r="AB25" i="3"/>
  <c r="AA25" i="3"/>
  <c r="Z25" i="3"/>
  <c r="S25" i="3"/>
  <c r="M25" i="3"/>
  <c r="K25" i="3"/>
  <c r="AC25" i="3" s="1"/>
  <c r="H25" i="3"/>
  <c r="AH25" i="3" s="1"/>
  <c r="AD24" i="3"/>
  <c r="AB24" i="3"/>
  <c r="AA24" i="3"/>
  <c r="Z24" i="3"/>
  <c r="S24" i="3"/>
  <c r="M24" i="3"/>
  <c r="G24" i="3"/>
  <c r="AD23" i="3"/>
  <c r="AC23" i="3"/>
  <c r="AB23" i="3"/>
  <c r="Y23" i="3" s="1"/>
  <c r="AA23" i="3"/>
  <c r="Z23" i="3"/>
  <c r="S23" i="3"/>
  <c r="M23" i="3"/>
  <c r="K23" i="3"/>
  <c r="H23" i="3"/>
  <c r="AH23" i="3" s="1"/>
  <c r="AH22" i="3"/>
  <c r="AD22" i="3"/>
  <c r="AB22" i="3"/>
  <c r="AA22" i="3"/>
  <c r="Z22" i="3"/>
  <c r="S22" i="3"/>
  <c r="M22" i="3"/>
  <c r="G22" i="3"/>
  <c r="H22" i="3" s="1"/>
  <c r="K22" i="3" s="1"/>
  <c r="AC22" i="3" s="1"/>
  <c r="AH21" i="3"/>
  <c r="AD21" i="3"/>
  <c r="AC21" i="3"/>
  <c r="AB21" i="3"/>
  <c r="AA21" i="3"/>
  <c r="Y21" i="3" s="1"/>
  <c r="Z21" i="3"/>
  <c r="S21" i="3"/>
  <c r="M21" i="3"/>
  <c r="F21" i="3"/>
  <c r="AH20" i="3"/>
  <c r="AD20" i="3"/>
  <c r="AC20" i="3"/>
  <c r="AB20" i="3"/>
  <c r="AA20" i="3"/>
  <c r="Z20" i="3"/>
  <c r="Y20" i="3" s="1"/>
  <c r="S20" i="3"/>
  <c r="M20" i="3"/>
  <c r="F20" i="3"/>
  <c r="AH19" i="3"/>
  <c r="AD19" i="3"/>
  <c r="AC19" i="3"/>
  <c r="AB19" i="3"/>
  <c r="AA19" i="3"/>
  <c r="Z19" i="3"/>
  <c r="S19" i="3"/>
  <c r="M19" i="3"/>
  <c r="AD18" i="3"/>
  <c r="AB18" i="3"/>
  <c r="AA18" i="3"/>
  <c r="Z18" i="3"/>
  <c r="S18" i="3"/>
  <c r="M18" i="3"/>
  <c r="H18" i="3"/>
  <c r="G18" i="3"/>
  <c r="AD17" i="3"/>
  <c r="AB17" i="3"/>
  <c r="AA17" i="3"/>
  <c r="Z17" i="3"/>
  <c r="S17" i="3"/>
  <c r="M17" i="3"/>
  <c r="G17" i="3"/>
  <c r="AD16" i="3"/>
  <c r="AB16" i="3"/>
  <c r="AA16" i="3"/>
  <c r="Z16" i="3"/>
  <c r="S16" i="3"/>
  <c r="M16" i="3"/>
  <c r="G16" i="3"/>
  <c r="AH15" i="3"/>
  <c r="AD15" i="3"/>
  <c r="AC15" i="3"/>
  <c r="AB15" i="3"/>
  <c r="Y15" i="3" s="1"/>
  <c r="AA15" i="3"/>
  <c r="Z15" i="3"/>
  <c r="S15" i="3"/>
  <c r="M15" i="3"/>
  <c r="AH14" i="3"/>
  <c r="AD14" i="3"/>
  <c r="AC14" i="3"/>
  <c r="AB14" i="3"/>
  <c r="AA14" i="3"/>
  <c r="Z14" i="3"/>
  <c r="Y14" i="3"/>
  <c r="S14" i="3"/>
  <c r="M14" i="3"/>
  <c r="AH13" i="3"/>
  <c r="AD13" i="3"/>
  <c r="AC13" i="3"/>
  <c r="AB13" i="3"/>
  <c r="AA13" i="3"/>
  <c r="Z13" i="3"/>
  <c r="S13" i="3"/>
  <c r="M13" i="3"/>
  <c r="AH12" i="3"/>
  <c r="AD12" i="3"/>
  <c r="AC12" i="3"/>
  <c r="AB12" i="3"/>
  <c r="AA12" i="3"/>
  <c r="Z12" i="3"/>
  <c r="S12" i="3"/>
  <c r="M12" i="3"/>
  <c r="AE10" i="3"/>
  <c r="AB10" i="3"/>
  <c r="X10" i="3"/>
  <c r="V10" i="3"/>
  <c r="U10" i="3"/>
  <c r="U9" i="3" s="1"/>
  <c r="T10" i="3"/>
  <c r="R10" i="3"/>
  <c r="Q10" i="3"/>
  <c r="P10" i="3"/>
  <c r="P9" i="3" s="1"/>
  <c r="O10" i="3"/>
  <c r="N10" i="3"/>
  <c r="L10" i="3"/>
  <c r="L9" i="3" s="1"/>
  <c r="J10" i="3"/>
  <c r="I10" i="3"/>
  <c r="E10" i="3"/>
  <c r="E9" i="3" s="1"/>
  <c r="X9" i="3"/>
  <c r="T9" i="3"/>
  <c r="Q9" i="3"/>
  <c r="I9" i="3"/>
  <c r="Y25" i="3" l="1"/>
  <c r="AH92" i="3"/>
  <c r="K92" i="3"/>
  <c r="G87" i="3"/>
  <c r="H92" i="3"/>
  <c r="H101" i="3"/>
  <c r="K101" i="3" s="1"/>
  <c r="AC101" i="3" s="1"/>
  <c r="AH101" i="3"/>
  <c r="Y101" i="3"/>
  <c r="S121" i="3"/>
  <c r="Y13" i="3"/>
  <c r="Z10" i="3"/>
  <c r="Z9" i="3" s="1"/>
  <c r="AH18" i="3"/>
  <c r="K18" i="3"/>
  <c r="AC18" i="3" s="1"/>
  <c r="Y18" i="3" s="1"/>
  <c r="Y34" i="3"/>
  <c r="Y36" i="3"/>
  <c r="Y41" i="3"/>
  <c r="K48" i="3"/>
  <c r="AC48" i="3" s="1"/>
  <c r="Y48" i="3" s="1"/>
  <c r="AH48" i="3"/>
  <c r="AA87" i="3"/>
  <c r="AB87" i="3"/>
  <c r="W95" i="3"/>
  <c r="H100" i="3"/>
  <c r="K100" i="3" s="1"/>
  <c r="AC100" i="3" s="1"/>
  <c r="AH110" i="3"/>
  <c r="K110" i="3"/>
  <c r="AC110" i="3" s="1"/>
  <c r="Y110" i="3" s="1"/>
  <c r="AB115" i="3"/>
  <c r="AB9" i="3" s="1"/>
  <c r="AA10" i="3"/>
  <c r="Y12" i="3"/>
  <c r="Y19" i="3"/>
  <c r="Y22" i="3"/>
  <c r="K26" i="3"/>
  <c r="AC26" i="3" s="1"/>
  <c r="Y26" i="3" s="1"/>
  <c r="Y29" i="3"/>
  <c r="AH30" i="3"/>
  <c r="K30" i="3"/>
  <c r="AC30" i="3" s="1"/>
  <c r="Y30" i="3" s="1"/>
  <c r="Y32" i="3"/>
  <c r="K34" i="3"/>
  <c r="AC34" i="3" s="1"/>
  <c r="Y37" i="3"/>
  <c r="Y45" i="3"/>
  <c r="H48" i="3"/>
  <c r="Y69" i="3"/>
  <c r="AC77" i="3"/>
  <c r="Y77" i="3" s="1"/>
  <c r="W77" i="3"/>
  <c r="S77" i="3" s="1"/>
  <c r="H81" i="3"/>
  <c r="AH81" i="3" s="1"/>
  <c r="AC83" i="3"/>
  <c r="Y83" i="3" s="1"/>
  <c r="H83" i="3"/>
  <c r="AH83" i="3" s="1"/>
  <c r="S91" i="3"/>
  <c r="AC91" i="3"/>
  <c r="AH96" i="3"/>
  <c r="Y98" i="3"/>
  <c r="Z87" i="3"/>
  <c r="S103" i="3"/>
  <c r="Y105" i="3"/>
  <c r="AH122" i="3"/>
  <c r="K122" i="3"/>
  <c r="AC122" i="3" s="1"/>
  <c r="Y122" i="3" s="1"/>
  <c r="W124" i="3"/>
  <c r="S124" i="3" s="1"/>
  <c r="K51" i="3"/>
  <c r="AC51" i="3" s="1"/>
  <c r="H51" i="3"/>
  <c r="AD10" i="3"/>
  <c r="AD9" i="3" s="1"/>
  <c r="G10" i="3"/>
  <c r="K16" i="3"/>
  <c r="H24" i="3"/>
  <c r="K24" i="3" s="1"/>
  <c r="AC24" i="3" s="1"/>
  <c r="Y24" i="3" s="1"/>
  <c r="K27" i="3"/>
  <c r="AC27" i="3" s="1"/>
  <c r="Y27" i="3" s="1"/>
  <c r="K17" i="3"/>
  <c r="F10" i="3"/>
  <c r="F9" i="3" s="1"/>
  <c r="AH31" i="3"/>
  <c r="Y35" i="3"/>
  <c r="Y42" i="3"/>
  <c r="K46" i="3"/>
  <c r="AC46" i="3" s="1"/>
  <c r="Y46" i="3" s="1"/>
  <c r="H46" i="3"/>
  <c r="AH46" i="3" s="1"/>
  <c r="AH51" i="3"/>
  <c r="Y102" i="3"/>
  <c r="AH102" i="3"/>
  <c r="Y111" i="3"/>
  <c r="Y123" i="3"/>
  <c r="Y129" i="3"/>
  <c r="Y51" i="3"/>
  <c r="K52" i="3"/>
  <c r="AC52" i="3" s="1"/>
  <c r="Y52" i="3" s="1"/>
  <c r="H52" i="3"/>
  <c r="AH52" i="3" s="1"/>
  <c r="K53" i="3"/>
  <c r="AC53" i="3" s="1"/>
  <c r="Y53" i="3" s="1"/>
  <c r="H53" i="3"/>
  <c r="AH53" i="3" s="1"/>
  <c r="K54" i="3"/>
  <c r="AC54" i="3" s="1"/>
  <c r="H54" i="3"/>
  <c r="AH54" i="3" s="1"/>
  <c r="Y54" i="3"/>
  <c r="K55" i="3"/>
  <c r="AC55" i="3" s="1"/>
  <c r="H55" i="3"/>
  <c r="AH55" i="3" s="1"/>
  <c r="Y55" i="3"/>
  <c r="K56" i="3"/>
  <c r="AC56" i="3" s="1"/>
  <c r="Y56" i="3" s="1"/>
  <c r="H56" i="3"/>
  <c r="AH56" i="3" s="1"/>
  <c r="K57" i="3"/>
  <c r="AC57" i="3" s="1"/>
  <c r="Y57" i="3" s="1"/>
  <c r="H57" i="3"/>
  <c r="AH57" i="3" s="1"/>
  <c r="K58" i="3"/>
  <c r="AC58" i="3" s="1"/>
  <c r="H58" i="3"/>
  <c r="AH58" i="3" s="1"/>
  <c r="Y58" i="3"/>
  <c r="Y61" i="3"/>
  <c r="W76" i="3"/>
  <c r="AC76" i="3" s="1"/>
  <c r="Y76" i="3" s="1"/>
  <c r="K109" i="3"/>
  <c r="AC109" i="3" s="1"/>
  <c r="Y109" i="3" s="1"/>
  <c r="Y114" i="3"/>
  <c r="K118" i="3"/>
  <c r="Z115" i="3"/>
  <c r="AD115" i="3"/>
  <c r="K121" i="3"/>
  <c r="AC121" i="3" s="1"/>
  <c r="Y121" i="3" s="1"/>
  <c r="AH123" i="3"/>
  <c r="K123" i="3"/>
  <c r="AC123" i="3" s="1"/>
  <c r="W125" i="3"/>
  <c r="S125" i="3" s="1"/>
  <c r="Y127" i="3"/>
  <c r="AC133" i="3"/>
  <c r="Y133" i="3" s="1"/>
  <c r="M133" i="3"/>
  <c r="M9" i="3" s="1"/>
  <c r="AA115" i="3"/>
  <c r="Y116" i="3"/>
  <c r="H50" i="3"/>
  <c r="AH50" i="3" s="1"/>
  <c r="Y74" i="3"/>
  <c r="H76" i="3"/>
  <c r="AH76" i="3" s="1"/>
  <c r="Y89" i="3"/>
  <c r="AH93" i="3"/>
  <c r="K93" i="3"/>
  <c r="AC93" i="3" s="1"/>
  <c r="Y93" i="3" s="1"/>
  <c r="K96" i="3"/>
  <c r="AC96" i="3" s="1"/>
  <c r="H96" i="3"/>
  <c r="Y96" i="3"/>
  <c r="K97" i="3"/>
  <c r="AC97" i="3" s="1"/>
  <c r="Y97" i="3" s="1"/>
  <c r="H97" i="3"/>
  <c r="AH97" i="3" s="1"/>
  <c r="Y99" i="3"/>
  <c r="Y100" i="3"/>
  <c r="Y103" i="3"/>
  <c r="K108" i="3"/>
  <c r="AC108" i="3" s="1"/>
  <c r="Y108" i="3" s="1"/>
  <c r="K112" i="3"/>
  <c r="AC112" i="3" s="1"/>
  <c r="Y112" i="3" s="1"/>
  <c r="S115" i="3"/>
  <c r="Y119" i="3"/>
  <c r="Y126" i="3"/>
  <c r="Y131" i="3"/>
  <c r="K10" i="3" l="1"/>
  <c r="AC16" i="3"/>
  <c r="H16" i="3"/>
  <c r="AC124" i="3"/>
  <c r="Y124" i="3" s="1"/>
  <c r="AC95" i="3"/>
  <c r="Y95" i="3" s="1"/>
  <c r="W87" i="3"/>
  <c r="S95" i="3"/>
  <c r="S87" i="3" s="1"/>
  <c r="AC125" i="3"/>
  <c r="Y125" i="3" s="1"/>
  <c r="G9" i="3"/>
  <c r="Y91" i="3"/>
  <c r="W115" i="3"/>
  <c r="K115" i="3"/>
  <c r="AC118" i="3"/>
  <c r="W10" i="3"/>
  <c r="W9" i="3" s="1"/>
  <c r="S76" i="3"/>
  <c r="S10" i="3" s="1"/>
  <c r="AC17" i="3"/>
  <c r="Y17" i="3" s="1"/>
  <c r="H17" i="3"/>
  <c r="AH17" i="3" s="1"/>
  <c r="K87" i="3"/>
  <c r="AC92" i="3"/>
  <c r="Y92" i="3" s="1"/>
  <c r="Y87" i="3" s="1"/>
  <c r="AH24" i="3"/>
  <c r="AA9" i="3"/>
  <c r="AH100" i="3"/>
  <c r="H87" i="3"/>
  <c r="AH87" i="3" s="1"/>
  <c r="S9" i="3" l="1"/>
  <c r="H10" i="3"/>
  <c r="H9" i="3" s="1"/>
  <c r="AH16" i="3"/>
  <c r="AC87" i="3"/>
  <c r="AC10" i="3"/>
  <c r="Y16" i="3"/>
  <c r="Y10" i="3" s="1"/>
  <c r="K9" i="3"/>
  <c r="AH9" i="3" s="1"/>
  <c r="Y118" i="3"/>
  <c r="Y115" i="3" s="1"/>
  <c r="AC115" i="3"/>
  <c r="Y9" i="3" l="1"/>
  <c r="AC9" i="3"/>
  <c r="AI9" i="3" s="1"/>
  <c r="S42" i="2"/>
  <c r="Q42" i="2"/>
  <c r="AC42" i="2" s="1"/>
  <c r="Y42" i="2" s="1"/>
  <c r="M42" i="2"/>
  <c r="AD41" i="2"/>
  <c r="AB41" i="2"/>
  <c r="AA41" i="2"/>
  <c r="Z41" i="2"/>
  <c r="S41" i="2"/>
  <c r="M41" i="2"/>
  <c r="K41" i="2"/>
  <c r="AC41" i="2" s="1"/>
  <c r="E41" i="2"/>
  <c r="AD40" i="2"/>
  <c r="AC40" i="2"/>
  <c r="AB40" i="2"/>
  <c r="AA40" i="2"/>
  <c r="Z40" i="2"/>
  <c r="S40" i="2"/>
  <c r="M40" i="2"/>
  <c r="H40" i="2"/>
  <c r="E40" i="2"/>
  <c r="AD39" i="2"/>
  <c r="AC39" i="2"/>
  <c r="AB39" i="2"/>
  <c r="AA39" i="2"/>
  <c r="Z39" i="2"/>
  <c r="S39" i="2"/>
  <c r="M39" i="2"/>
  <c r="H39" i="2"/>
  <c r="F39" i="2"/>
  <c r="AD38" i="2"/>
  <c r="AB38" i="2"/>
  <c r="AA38" i="2"/>
  <c r="Z38" i="2"/>
  <c r="S38" i="2"/>
  <c r="M38" i="2"/>
  <c r="H38" i="2"/>
  <c r="K38" i="2" s="1"/>
  <c r="AC38" i="2" s="1"/>
  <c r="AD37" i="2"/>
  <c r="AB37" i="2"/>
  <c r="AA37" i="2"/>
  <c r="Z37" i="2"/>
  <c r="W37" i="2"/>
  <c r="AC37" i="2" s="1"/>
  <c r="M37" i="2"/>
  <c r="H37" i="2"/>
  <c r="F37" i="2"/>
  <c r="AD36" i="2"/>
  <c r="AB36" i="2"/>
  <c r="AA36" i="2"/>
  <c r="Z36" i="2"/>
  <c r="M36" i="2"/>
  <c r="H36" i="2"/>
  <c r="K36" i="2" s="1"/>
  <c r="E36" i="2"/>
  <c r="AD35" i="2"/>
  <c r="AB35" i="2"/>
  <c r="AA35" i="2"/>
  <c r="Z35" i="2"/>
  <c r="M35" i="2"/>
  <c r="H35" i="2"/>
  <c r="K35" i="2" s="1"/>
  <c r="E35" i="2"/>
  <c r="AD34" i="2"/>
  <c r="AB34" i="2"/>
  <c r="AA34" i="2"/>
  <c r="Z34" i="2"/>
  <c r="W34" i="2"/>
  <c r="S34" i="2" s="1"/>
  <c r="M34" i="2"/>
  <c r="H34" i="2"/>
  <c r="E34" i="2"/>
  <c r="AD33" i="2"/>
  <c r="AB33" i="2"/>
  <c r="AA33" i="2"/>
  <c r="Z33" i="2"/>
  <c r="S33" i="2"/>
  <c r="M33" i="2"/>
  <c r="G33" i="2"/>
  <c r="G28" i="2" s="1"/>
  <c r="F33" i="2"/>
  <c r="AD32" i="2"/>
  <c r="AB32" i="2"/>
  <c r="AA32" i="2"/>
  <c r="Z32" i="2"/>
  <c r="S32" i="2"/>
  <c r="M32" i="2"/>
  <c r="K32" i="2"/>
  <c r="AC32" i="2" s="1"/>
  <c r="H32" i="2"/>
  <c r="AD31" i="2"/>
  <c r="AB31" i="2"/>
  <c r="AA31" i="2"/>
  <c r="Z31" i="2"/>
  <c r="S31" i="2"/>
  <c r="M31" i="2"/>
  <c r="H31" i="2"/>
  <c r="K31" i="2" s="1"/>
  <c r="AC31" i="2" s="1"/>
  <c r="AD30" i="2"/>
  <c r="AB30" i="2"/>
  <c r="AA30" i="2"/>
  <c r="Z30" i="2"/>
  <c r="S30" i="2"/>
  <c r="Q30" i="2"/>
  <c r="M30" i="2" s="1"/>
  <c r="E30" i="2"/>
  <c r="AD29" i="2"/>
  <c r="AC29" i="2"/>
  <c r="AB29" i="2"/>
  <c r="AA29" i="2"/>
  <c r="Z29" i="2"/>
  <c r="S29" i="2"/>
  <c r="M29" i="2"/>
  <c r="H29" i="2"/>
  <c r="E29" i="2"/>
  <c r="AF28" i="2"/>
  <c r="AE28" i="2"/>
  <c r="X28" i="2"/>
  <c r="V28" i="2"/>
  <c r="U28" i="2"/>
  <c r="T28" i="2"/>
  <c r="R28" i="2"/>
  <c r="P28" i="2"/>
  <c r="O28" i="2"/>
  <c r="N28" i="2"/>
  <c r="L28" i="2"/>
  <c r="J28" i="2"/>
  <c r="I28" i="2"/>
  <c r="AD27" i="2"/>
  <c r="AB27" i="2"/>
  <c r="AA27" i="2"/>
  <c r="Z27" i="2"/>
  <c r="S27" i="2"/>
  <c r="M27" i="2"/>
  <c r="K27" i="2"/>
  <c r="AD26" i="2"/>
  <c r="AB26" i="2"/>
  <c r="AA26" i="2"/>
  <c r="Z26" i="2"/>
  <c r="W26" i="2"/>
  <c r="AC26" i="2" s="1"/>
  <c r="M26" i="2"/>
  <c r="G26" i="2"/>
  <c r="AD25" i="2"/>
  <c r="AB25" i="2"/>
  <c r="AA25" i="2"/>
  <c r="Z25" i="2"/>
  <c r="S25" i="2"/>
  <c r="M25" i="2"/>
  <c r="H25" i="2"/>
  <c r="E25" i="2"/>
  <c r="AD24" i="2"/>
  <c r="AB24" i="2"/>
  <c r="AA24" i="2"/>
  <c r="Z24" i="2"/>
  <c r="S24" i="2"/>
  <c r="M24" i="2"/>
  <c r="H24" i="2"/>
  <c r="E24" i="2"/>
  <c r="AD23" i="2"/>
  <c r="AB23" i="2"/>
  <c r="AA23" i="2"/>
  <c r="Z23" i="2"/>
  <c r="W23" i="2"/>
  <c r="S23" i="2" s="1"/>
  <c r="M23" i="2"/>
  <c r="H23" i="2"/>
  <c r="E23" i="2"/>
  <c r="AD22" i="2"/>
  <c r="AB22" i="2"/>
  <c r="AA22" i="2"/>
  <c r="Z22" i="2"/>
  <c r="W22" i="2"/>
  <c r="AC22" i="2" s="1"/>
  <c r="M22" i="2"/>
  <c r="E22" i="2"/>
  <c r="AD21" i="2"/>
  <c r="AB21" i="2"/>
  <c r="AA21" i="2"/>
  <c r="Z21" i="2"/>
  <c r="W21" i="2"/>
  <c r="AC21" i="2" s="1"/>
  <c r="M21" i="2"/>
  <c r="E21" i="2"/>
  <c r="AD20" i="2"/>
  <c r="AB20" i="2"/>
  <c r="AA20" i="2"/>
  <c r="Z20" i="2"/>
  <c r="S20" i="2"/>
  <c r="M20" i="2"/>
  <c r="G20" i="2"/>
  <c r="H20" i="2" s="1"/>
  <c r="AD19" i="2"/>
  <c r="AB19" i="2"/>
  <c r="AA19" i="2"/>
  <c r="Z19" i="2"/>
  <c r="S19" i="2"/>
  <c r="M19" i="2"/>
  <c r="G19" i="2"/>
  <c r="H19" i="2" s="1"/>
  <c r="AD18" i="2"/>
  <c r="AB18" i="2"/>
  <c r="AA18" i="2"/>
  <c r="Z18" i="2"/>
  <c r="M18" i="2"/>
  <c r="H18" i="2"/>
  <c r="G18" i="2"/>
  <c r="W18" i="2" s="1"/>
  <c r="AD17" i="2"/>
  <c r="AB17" i="2"/>
  <c r="AA17" i="2"/>
  <c r="Z17" i="2"/>
  <c r="W17" i="2"/>
  <c r="AC17" i="2" s="1"/>
  <c r="M17" i="2"/>
  <c r="AE16" i="2"/>
  <c r="AE10" i="2" s="1"/>
  <c r="X16" i="2"/>
  <c r="V16" i="2"/>
  <c r="U16" i="2"/>
  <c r="T16" i="2"/>
  <c r="R16" i="2"/>
  <c r="Q16" i="2"/>
  <c r="P16" i="2"/>
  <c r="O16" i="2"/>
  <c r="N16" i="2"/>
  <c r="L16" i="2"/>
  <c r="J16" i="2"/>
  <c r="I16" i="2"/>
  <c r="F16" i="2"/>
  <c r="AD15" i="2"/>
  <c r="AB15" i="2"/>
  <c r="AA15" i="2"/>
  <c r="Z15" i="2"/>
  <c r="M15" i="2"/>
  <c r="H15" i="2"/>
  <c r="E15" i="2"/>
  <c r="AD14" i="2"/>
  <c r="AB14" i="2"/>
  <c r="AA14" i="2"/>
  <c r="Z14" i="2"/>
  <c r="M14" i="2"/>
  <c r="H14" i="2"/>
  <c r="E14" i="2"/>
  <c r="AD13" i="2"/>
  <c r="AB13" i="2"/>
  <c r="AA13" i="2"/>
  <c r="Z13" i="2"/>
  <c r="M13" i="2"/>
  <c r="G13" i="2"/>
  <c r="H13" i="2" s="1"/>
  <c r="AD12" i="2"/>
  <c r="AB12" i="2"/>
  <c r="AA12" i="2"/>
  <c r="Z12" i="2"/>
  <c r="W12" i="2"/>
  <c r="S12" i="2" s="1"/>
  <c r="M12" i="2"/>
  <c r="G12" i="2"/>
  <c r="AD11" i="2"/>
  <c r="AB11" i="2"/>
  <c r="AA11" i="2"/>
  <c r="Z11" i="2"/>
  <c r="W11" i="2"/>
  <c r="AC11" i="2" s="1"/>
  <c r="M11" i="2"/>
  <c r="G11" i="2"/>
  <c r="X10" i="2"/>
  <c r="V10" i="2"/>
  <c r="U10" i="2"/>
  <c r="T10" i="2"/>
  <c r="R10" i="2"/>
  <c r="Q10" i="2"/>
  <c r="P10" i="2"/>
  <c r="O10" i="2"/>
  <c r="N10" i="2"/>
  <c r="L10" i="2"/>
  <c r="J10" i="2"/>
  <c r="I10" i="2"/>
  <c r="V9" i="2" l="1"/>
  <c r="K24" i="2"/>
  <c r="AC24" i="2" s="1"/>
  <c r="Y24" i="2" s="1"/>
  <c r="T9" i="2"/>
  <c r="I9" i="2"/>
  <c r="O9" i="2"/>
  <c r="F28" i="2"/>
  <c r="J9" i="2"/>
  <c r="P9" i="2"/>
  <c r="U9" i="2"/>
  <c r="L9" i="2"/>
  <c r="K19" i="2"/>
  <c r="AC19" i="2" s="1"/>
  <c r="Y19" i="2" s="1"/>
  <c r="K20" i="2"/>
  <c r="AC20" i="2" s="1"/>
  <c r="Y20" i="2" s="1"/>
  <c r="AA28" i="2"/>
  <c r="AA10" i="2"/>
  <c r="Y37" i="2"/>
  <c r="F10" i="2"/>
  <c r="F9" i="2" s="1"/>
  <c r="W16" i="2"/>
  <c r="AD10" i="2"/>
  <c r="N9" i="2"/>
  <c r="R9" i="2"/>
  <c r="X9" i="2"/>
  <c r="K13" i="2"/>
  <c r="W13" i="2" s="1"/>
  <c r="S13" i="2" s="1"/>
  <c r="E16" i="2"/>
  <c r="G16" i="2"/>
  <c r="Z10" i="2"/>
  <c r="M16" i="2"/>
  <c r="Y32" i="2"/>
  <c r="AB28" i="2"/>
  <c r="M10" i="2"/>
  <c r="AB10" i="2"/>
  <c r="AB16" i="2"/>
  <c r="S22" i="2"/>
  <c r="S26" i="2"/>
  <c r="H41" i="2"/>
  <c r="E10" i="2"/>
  <c r="AA16" i="2"/>
  <c r="Y22" i="2"/>
  <c r="Y26" i="2"/>
  <c r="Y11" i="2"/>
  <c r="Y17" i="2"/>
  <c r="K25" i="2"/>
  <c r="AC25" i="2" s="1"/>
  <c r="Y25" i="2" s="1"/>
  <c r="S11" i="2"/>
  <c r="AD16" i="2"/>
  <c r="S17" i="2"/>
  <c r="Y29" i="2"/>
  <c r="AD28" i="2"/>
  <c r="E28" i="2"/>
  <c r="S37" i="2"/>
  <c r="Y38" i="2"/>
  <c r="Y39" i="2"/>
  <c r="Y31" i="2"/>
  <c r="Y40" i="2"/>
  <c r="M28" i="2"/>
  <c r="K34" i="2"/>
  <c r="AC34" i="2" s="1"/>
  <c r="Y34" i="2" s="1"/>
  <c r="G10" i="2"/>
  <c r="K14" i="2"/>
  <c r="K15" i="2"/>
  <c r="AC27" i="2"/>
  <c r="Y27" i="2" s="1"/>
  <c r="H27" i="2"/>
  <c r="Z16" i="2"/>
  <c r="Y21" i="2"/>
  <c r="Y41" i="2"/>
  <c r="AC12" i="2"/>
  <c r="Y12" i="2" s="1"/>
  <c r="AC18" i="2"/>
  <c r="S18" i="2"/>
  <c r="K23" i="2"/>
  <c r="AC23" i="2" s="1"/>
  <c r="Y23" i="2" s="1"/>
  <c r="W35" i="2"/>
  <c r="AC35" i="2" s="1"/>
  <c r="Y35" i="2" s="1"/>
  <c r="S21" i="2"/>
  <c r="H33" i="2"/>
  <c r="Q28" i="2"/>
  <c r="Q9" i="2" s="1"/>
  <c r="AC30" i="2"/>
  <c r="Y30" i="2" s="1"/>
  <c r="K33" i="2"/>
  <c r="Z28" i="2"/>
  <c r="W36" i="2"/>
  <c r="S36" i="2" s="1"/>
  <c r="AA9" i="2" l="1"/>
  <c r="K16" i="2"/>
  <c r="AC13" i="2"/>
  <c r="Y13" i="2" s="1"/>
  <c r="E9" i="2"/>
  <c r="AB9" i="2"/>
  <c r="G9" i="2"/>
  <c r="M9" i="2"/>
  <c r="AC36" i="2"/>
  <c r="Y36" i="2" s="1"/>
  <c r="H16" i="2"/>
  <c r="AD9" i="2"/>
  <c r="AC33" i="2"/>
  <c r="Y33" i="2" s="1"/>
  <c r="K28" i="2"/>
  <c r="K10" i="2"/>
  <c r="S16" i="2"/>
  <c r="Z9" i="2"/>
  <c r="W15" i="2"/>
  <c r="S15" i="2" s="1"/>
  <c r="H28" i="2"/>
  <c r="W28" i="2"/>
  <c r="S35" i="2"/>
  <c r="S28" i="2" s="1"/>
  <c r="Y18" i="2"/>
  <c r="W14" i="2"/>
  <c r="Y16" i="2" l="1"/>
  <c r="AC28" i="2"/>
  <c r="Y28" i="2"/>
  <c r="AC15" i="2"/>
  <c r="Y15" i="2" s="1"/>
  <c r="S14" i="2"/>
  <c r="S10" i="2" s="1"/>
  <c r="S9" i="2" s="1"/>
  <c r="W10" i="2"/>
  <c r="W9" i="2" s="1"/>
  <c r="K9" i="2"/>
  <c r="AC14" i="2"/>
  <c r="Y14" i="2" s="1"/>
  <c r="AC16" i="2"/>
  <c r="H10" i="2"/>
  <c r="H9" i="2" s="1"/>
  <c r="AC10" i="2" l="1"/>
  <c r="AC9" i="2" s="1"/>
  <c r="Y10" i="2"/>
  <c r="Y9" i="2" s="1"/>
</calcChain>
</file>

<file path=xl/comments1.xml><?xml version="1.0" encoding="utf-8"?>
<comments xmlns="http://schemas.openxmlformats.org/spreadsheetml/2006/main">
  <authors>
    <author>Windows User</author>
  </authors>
  <commentList>
    <comment ref="H23" authorId="0" shapeId="0">
      <text>
        <r>
          <rPr>
            <b/>
            <sz val="9"/>
            <color indexed="81"/>
            <rFont val="Tahoma"/>
            <family val="2"/>
          </rPr>
          <t>Windows User:</t>
        </r>
        <r>
          <rPr>
            <sz val="9"/>
            <color indexed="81"/>
            <rFont val="Tahoma"/>
            <family val="2"/>
          </rPr>
          <t xml:space="preserve">
ĐANG TRỪ 22 ĐI ĐỂ BỔ SUNG DI CHUYỂN ĐƯỜNG ĐIỆN</t>
        </r>
      </text>
    </comment>
    <comment ref="B25" authorId="0" shapeId="0">
      <text>
        <r>
          <rPr>
            <b/>
            <sz val="9"/>
            <color indexed="81"/>
            <rFont val="Tahoma"/>
            <family val="2"/>
          </rPr>
          <t>Windows User:</t>
        </r>
        <r>
          <rPr>
            <sz val="9"/>
            <color indexed="81"/>
            <rFont val="Tahoma"/>
            <family val="2"/>
          </rPr>
          <t xml:space="preserve">
n42</t>
        </r>
      </text>
    </comment>
    <comment ref="B29" authorId="0" shapeId="0">
      <text>
        <r>
          <rPr>
            <b/>
            <sz val="9"/>
            <color indexed="81"/>
            <rFont val="Tahoma"/>
            <family val="2"/>
          </rPr>
          <t>Windows User:</t>
        </r>
        <r>
          <rPr>
            <sz val="9"/>
            <color indexed="81"/>
            <rFont val="Tahoma"/>
            <family val="2"/>
          </rPr>
          <t xml:space="preserve">
nguồn 42, 43, 44</t>
        </r>
      </text>
    </comment>
    <comment ref="B30" authorId="0" shapeId="0">
      <text>
        <r>
          <rPr>
            <b/>
            <sz val="9"/>
            <color indexed="81"/>
            <rFont val="Tahoma"/>
            <family val="2"/>
          </rPr>
          <t>Windows User:</t>
        </r>
        <r>
          <rPr>
            <sz val="9"/>
            <color indexed="81"/>
            <rFont val="Tahoma"/>
            <family val="2"/>
          </rPr>
          <t xml:space="preserve">
N42,43</t>
        </r>
      </text>
    </comment>
    <comment ref="B31" authorId="0" shapeId="0">
      <text>
        <r>
          <rPr>
            <b/>
            <sz val="9"/>
            <color indexed="81"/>
            <rFont val="Tahoma"/>
            <family val="2"/>
          </rPr>
          <t>Windows User:</t>
        </r>
        <r>
          <rPr>
            <sz val="9"/>
            <color indexed="81"/>
            <rFont val="Tahoma"/>
            <family val="2"/>
          </rPr>
          <t xml:space="preserve">
N42, 43</t>
        </r>
      </text>
    </comment>
    <comment ref="B99" authorId="0" shapeId="0">
      <text>
        <r>
          <rPr>
            <b/>
            <sz val="9"/>
            <color indexed="81"/>
            <rFont val="Tahoma"/>
            <family val="2"/>
          </rPr>
          <t>Windows User:</t>
        </r>
        <r>
          <rPr>
            <sz val="9"/>
            <color indexed="81"/>
            <rFont val="Tahoma"/>
            <family val="2"/>
          </rPr>
          <t xml:space="preserve">
n42</t>
        </r>
      </text>
    </comment>
    <comment ref="B100" authorId="0" shapeId="0">
      <text>
        <r>
          <rPr>
            <b/>
            <sz val="9"/>
            <color indexed="81"/>
            <rFont val="Tahoma"/>
            <family val="2"/>
          </rPr>
          <t>Windows User:</t>
        </r>
        <r>
          <rPr>
            <sz val="9"/>
            <color indexed="81"/>
            <rFont val="Tahoma"/>
            <family val="2"/>
          </rPr>
          <t xml:space="preserve">
n42</t>
        </r>
      </text>
    </comment>
  </commentList>
</comments>
</file>

<file path=xl/sharedStrings.xml><?xml version="1.0" encoding="utf-8"?>
<sst xmlns="http://schemas.openxmlformats.org/spreadsheetml/2006/main" count="614" uniqueCount="266">
  <si>
    <t>STT</t>
  </si>
  <si>
    <t>Tên Dự án</t>
  </si>
  <si>
    <t>Địa điểm xây dựng</t>
  </si>
  <si>
    <t>Nghị quyết (hoặc quyết định chủ trương đầu tư)</t>
  </si>
  <si>
    <t>TMĐT (hoặc giá trị quyết toán)</t>
  </si>
  <si>
    <t>Nợ XDCB các công trình đến ngày 31/12/2025</t>
  </si>
  <si>
    <t>Ghi chú</t>
  </si>
  <si>
    <t>Tổng số (tất cả các nguồn vốn)</t>
  </si>
  <si>
    <t>Trong đó: Vốn ngân sách xã</t>
  </si>
  <si>
    <t>Trong đó</t>
  </si>
  <si>
    <t>Vốn từ nguồn hợp pháp khác</t>
  </si>
  <si>
    <t>1</t>
  </si>
  <si>
    <t>2</t>
  </si>
  <si>
    <t>3</t>
  </si>
  <si>
    <t>4</t>
  </si>
  <si>
    <t>5</t>
  </si>
  <si>
    <t>6</t>
  </si>
  <si>
    <t>7</t>
  </si>
  <si>
    <t>8</t>
  </si>
  <si>
    <t>9</t>
  </si>
  <si>
    <t>10</t>
  </si>
  <si>
    <t>24</t>
  </si>
  <si>
    <t>25</t>
  </si>
  <si>
    <t>21</t>
  </si>
  <si>
    <t>TỔNG CỘNG (I+....IV)</t>
  </si>
  <si>
    <t>I</t>
  </si>
  <si>
    <t>DỰ ÁN ĐÃ PHÊ DUYỆT QUYẾT TOÁN</t>
  </si>
  <si>
    <t>XÃ HOẰNG QUÝ CŨ</t>
  </si>
  <si>
    <t>Cải tạo, nâng cấp nhà lớp học 2 tầng mầm non Hoằng Quý</t>
  </si>
  <si>
    <t>xã Hoằng Quý cũ</t>
  </si>
  <si>
    <t>Số 16/QĐ-UBND  đầu tư xây dựng   xã ngày 10/03/2016</t>
  </si>
  <si>
    <t>gdmn</t>
  </si>
  <si>
    <t>Công trình Xây dựng trường tiểu học nhà lớp học  2 tầng 8 phòng xã Hoằng Quý</t>
  </si>
  <si>
    <t>số 109/QĐ-UBND  đầu tư xây dựng ngày 04/09/2018</t>
  </si>
  <si>
    <t>gdc1</t>
  </si>
  <si>
    <t>Công trình sửa chữa, nâng cấp Công sở</t>
  </si>
  <si>
    <t>Số 37b/QĐ-UBND chủ trương đầu tư xây dựng  xã ngày 20/4/2018</t>
  </si>
  <si>
    <t>ql</t>
  </si>
  <si>
    <t>Đường GTNĐ từ trạm bơm đi bãi rác</t>
  </si>
  <si>
    <t>Số 33/QĐ-UBND đầu tư xây dựng xã ngày 12/6/2019</t>
  </si>
  <si>
    <t>gt</t>
  </si>
  <si>
    <t xml:space="preserve"> Nâng cấp khuôn viên, vỉa hè, thảm nhựa đường trục chính từ cổng làng vào chợ Đầng</t>
  </si>
  <si>
    <t>QĐ 65 /UBND chủ trương đầu tư xây dựng '31/12/2019</t>
  </si>
  <si>
    <t>Nhà truyền thống và sinh hoạt chuyên môn trường THCS Hoằng Quý</t>
  </si>
  <si>
    <t>Số 92/QĐ-UBND  đầu tư xây dựng   ngày 08/6/2020</t>
  </si>
  <si>
    <t>gdc2</t>
  </si>
  <si>
    <t>Nâng cấp mở rộng đường giao thông từ cánh đồng thôn Tự Đông đến cánh đồng thôn Hảo Bắc</t>
  </si>
  <si>
    <t>Số 91/QĐ-UBND  đầu tư xây dựng xã ngày 26/6/2020</t>
  </si>
  <si>
    <t>Nâng cấp vỉa hè, bó vỉa trước mặt UB xã Hoằng Qúy</t>
  </si>
  <si>
    <t>Số 49/QĐ-UBND đầu tư xây dựng  Ngày 03/4/2020</t>
  </si>
  <si>
    <t>Nâng cấp khuôn viên, quét vôi ve trường THCS Hoằng Quý</t>
  </si>
  <si>
    <t>40/QĐ-UBNd ngày 25/12/2013</t>
  </si>
  <si>
    <t>Xây dựng đường vào trường cấp 1</t>
  </si>
  <si>
    <t>15/QĐ-UBNd ngày 18/01/2013</t>
  </si>
  <si>
    <t>11</t>
  </si>
  <si>
    <t>Nhà bảo vệ, nhà máy bơm</t>
  </si>
  <si>
    <t>Só 17/QĐ-UBND đầu tư xây dựng  xã ngày 8/4/2020</t>
  </si>
  <si>
    <t>12</t>
  </si>
  <si>
    <t>Thảm nhựa đường thôn sao vàng 2</t>
  </si>
  <si>
    <t>Số 23b/NQ-HĐND ngày 30/7/2021</t>
  </si>
  <si>
    <t>13</t>
  </si>
  <si>
    <t>14</t>
  </si>
  <si>
    <t>Nâng cấp cải tạo nhà lớp học 2 tầng 8 phòng trường tiểu học Hoằng Quý</t>
  </si>
  <si>
    <t xml:space="preserve"> Số 29/NQ-HFĐND ngày 07/01/2022</t>
  </si>
  <si>
    <t>15</t>
  </si>
  <si>
    <t xml:space="preserve">Mở rộng nghĩa trang mã nạy xã Hoằng quý, huyện Hoằng Hóa </t>
  </si>
  <si>
    <t xml:space="preserve"> NQ số 55 / NQ -HĐND ngày 04/01/2024</t>
  </si>
  <si>
    <t>vh</t>
  </si>
  <si>
    <t>16</t>
  </si>
  <si>
    <t xml:space="preserve">Nâng cấp  đường giao thông từ  gốc cây đề đường số 2 đến Bà hồng đường số 3 thôn sao vàng 1, xã Hoằng Quý, huyện Hoằng Hóa </t>
  </si>
  <si>
    <t xml:space="preserve"> NQ số 82/ NQ -HĐND ngày 24/7/2024</t>
  </si>
  <si>
    <t>17</t>
  </si>
  <si>
    <t xml:space="preserve">Nâng cấp tuyến đường trục chính vào trường THCS hoằng quý , tuyến trước cổng chùa bảo phúc xã H quý </t>
  </si>
  <si>
    <t>18</t>
  </si>
  <si>
    <t>Tôn nền sân, khuôn viên khu làm việc công an xã Hoằng Quý</t>
  </si>
  <si>
    <t>ca</t>
  </si>
  <si>
    <t>19</t>
  </si>
  <si>
    <t xml:space="preserve">CT đường từ kết nối từ đường phượng quý đi qua cầu ba gian QL1A xã Hoằng Quý </t>
  </si>
  <si>
    <t>20</t>
  </si>
  <si>
    <t xml:space="preserve">Sủa chữa  mặt đường tân đức( từ rào chắn cổng làng đến nhà bà toán tân đức ) xã H quý </t>
  </si>
  <si>
    <t xml:space="preserve">Nâng cấp đường giao thông từ nhà ông cát dến nhà bà Nật đường HQ 4 thôn sao vàng 2 xã Hoằng Quý </t>
  </si>
  <si>
    <t xml:space="preserve"> NQ số 83 / NQ -HĐND ngày 24/7/2024</t>
  </si>
  <si>
    <t>22</t>
  </si>
  <si>
    <t>Thảm nhựa đường điếm hảo đi HH07 và nâng cấp xây dựng mới cầu đầu thôn Hảo Bắc quan sông Phượng Quý xã Hoằng Quý</t>
  </si>
  <si>
    <t>XÃ HOẰNG TRUNG CŨ</t>
  </si>
  <si>
    <t>23</t>
  </si>
  <si>
    <t>XD kênh mương dọc đường Trung Xuân</t>
  </si>
  <si>
    <t>xã Hoằng Trung cũ</t>
  </si>
  <si>
    <t>QĐ 31/QĐ-UBND ngày 02/8/2018</t>
  </si>
  <si>
    <t>tloi</t>
  </si>
  <si>
    <t xml:space="preserve">Trường Mầm non xã Hoằng Trung. Nhà lớp học 2 tầng 8 phòng, nhà bếp, công trình phụ trợ, đường công vụ </t>
  </si>
  <si>
    <t>Đường GTNĐ xã Hoằng Trung, HM: Nền, mặt đường, thoát nước</t>
  </si>
  <si>
    <t>26</t>
  </si>
  <si>
    <t>San lấp mặt bằng công trình phụ trợ TTVHTDTT</t>
  </si>
  <si>
    <t>27</t>
  </si>
  <si>
    <t>Trung tâm VH- TDTT, HM: nhà đa năng</t>
  </si>
  <si>
    <t>28</t>
  </si>
  <si>
    <t>Cải tạo, nâng cấp đường trung hậu, xa vệ</t>
  </si>
  <si>
    <t>29</t>
  </si>
  <si>
    <t>Bồn hoa non bộ, sân betong</t>
  </si>
  <si>
    <t>30</t>
  </si>
  <si>
    <t>Mương thoát nước đường vào TTVH</t>
  </si>
  <si>
    <t>31</t>
  </si>
  <si>
    <t>Đường GTNT, HM: đường bờ trại đi núi chùa</t>
  </si>
  <si>
    <t>32</t>
  </si>
  <si>
    <t>XD nhà một cửa</t>
  </si>
  <si>
    <t>33</t>
  </si>
  <si>
    <t>Đường GTNT, HM: tuyến đường từ nhà ông thọ đến kênh N1</t>
  </si>
  <si>
    <t>34</t>
  </si>
  <si>
    <t>đường GT từ đường TL: 509 đi đền triệu VV</t>
  </si>
  <si>
    <t>35</t>
  </si>
  <si>
    <t>Đường và rảnh thoát nước khu dân cư mới trung hậu, trước trạm y tế</t>
  </si>
  <si>
    <t>36</t>
  </si>
  <si>
    <t>Trường tiểu học Hoằng Trung. Hạng mục: Cải tạo nhà VS học sinh, giáo viên, nhà xe, sân bê tông</t>
  </si>
  <si>
    <t>37</t>
  </si>
  <si>
    <t>Đường giao thông khu dân cư mới thôn Tự nhiên</t>
  </si>
  <si>
    <t>38</t>
  </si>
  <si>
    <t>Kiên cố hóa kênh mương bản trúc</t>
  </si>
  <si>
    <t>39</t>
  </si>
  <si>
    <t>Đường giao thông từ thôn Xa Vệ đi thôn 4</t>
  </si>
  <si>
    <t>40</t>
  </si>
  <si>
    <t>Cải tạo nâng cấp trường mầm non xã Hoằng Trung. Hạng mục: Bể nước, rảnh thoát nước, nhà cầu, nhà ăn, nhà lớp học, khuôn viên sân trường</t>
  </si>
  <si>
    <t>41</t>
  </si>
  <si>
    <t>Sữa chữa, cải tạo công sở xã Hoằng Trung</t>
  </si>
  <si>
    <t>42</t>
  </si>
  <si>
    <t>Cải tạo nhà lớp học 2 tầng trường THCS Hoằng Trung, HM: Chống thấm mái, đóng trần, lát nền, thay thế hệ thống điện, quét vôi ve</t>
  </si>
  <si>
    <t>43</t>
  </si>
  <si>
    <t>XD cầu sông Ấu 5</t>
  </si>
  <si>
    <t>44</t>
  </si>
  <si>
    <t>Đường số 4 Trung Hậu, đoạn từ đường Trung Xuân đến nhà bà Thuân</t>
  </si>
  <si>
    <t>45</t>
  </si>
  <si>
    <t>Đường liên thôn Trung Hậu Dương thanh, đoạn từ đường Trung Xuân đi trạm bơm</t>
  </si>
  <si>
    <t>46</t>
  </si>
  <si>
    <t>Đường GTNT thôn Trinh Hà</t>
  </si>
  <si>
    <t>47</t>
  </si>
  <si>
    <t>Điều chỉnh quy hoạch NTM</t>
  </si>
  <si>
    <t>48</t>
  </si>
  <si>
    <t>Khảo sát lập quy hoạch chi tiết điểm dân cư năm 2017 khu vực Đồng Nổ, thôn Ga, xã Hoằng Trung huyện Hoằng Hóa</t>
  </si>
  <si>
    <t>49</t>
  </si>
  <si>
    <t>Khảo sát lập quy hoạch chi tiết điểm dân cư năm 2018 khu vực trạm điện thôn Xa Vệ xã Hoằng Trung huyện Hoằng Hóa</t>
  </si>
  <si>
    <t>50</t>
  </si>
  <si>
    <t>XD chợ thị tứ, HM: kiot nhà bảo vệ, nhà xe</t>
  </si>
  <si>
    <t>51</t>
  </si>
  <si>
    <t>XD chợ thị tứ</t>
  </si>
  <si>
    <t>52</t>
  </si>
  <si>
    <t>Rảnh thoát nước qua khu dân cư xã H.Trung</t>
  </si>
  <si>
    <t>53</t>
  </si>
  <si>
    <t>Cải tạo, nâng cấp sân, vườn trường MN</t>
  </si>
  <si>
    <t>54</t>
  </si>
  <si>
    <t>Đường giao thông nội đồng thôn xa vệ</t>
  </si>
  <si>
    <t>55</t>
  </si>
  <si>
    <t>Đường giao thông thôn Trinh hà, đền TVV</t>
  </si>
  <si>
    <t>56</t>
  </si>
  <si>
    <t>XD cầu sông ấu 7 thôn 4</t>
  </si>
  <si>
    <t>57</t>
  </si>
  <si>
    <t>Đường GTNĐ thôn tuyến chợ, thị tứ, trinh hà</t>
  </si>
  <si>
    <t>58</t>
  </si>
  <si>
    <t>Cải tạo đường rãnh thoát nước thôn xa Vệ xã Hoằng Trung</t>
  </si>
  <si>
    <t>NQ 04/NQ-HĐND ngày 16/01/2019</t>
  </si>
  <si>
    <t>59</t>
  </si>
  <si>
    <t>Công trình đường điện sáng công cộng thôn Xa Vệ 4</t>
  </si>
  <si>
    <t>60</t>
  </si>
  <si>
    <t>Sữa chữa, quyét vôi ve UBND xã</t>
  </si>
  <si>
    <t>61</t>
  </si>
  <si>
    <t>Nâng cấp, cải tạo đường từ núi Bà triệu đến đền Triệu việt vương (chạy dọc phía đông đường sắt) và tuyến đường từ đường gom đường sắt đến đền Triệu Việt Vương</t>
  </si>
  <si>
    <t>DỰ ÁN HUYỆN BÀN GIAO VỀ XÃ</t>
  </si>
  <si>
    <t>62</t>
  </si>
  <si>
    <t>Đường kết nối từ đường Kim Sơn đến đường tỉnh lộ 509</t>
  </si>
  <si>
    <t>UBND huyện BG</t>
  </si>
  <si>
    <t>63</t>
  </si>
  <si>
    <t>Đầu tư xây dựng khu dân cư thôn 5, thôn 6, thôn 7, xã Hoằng Kim (Mặt bằng quy hoạch số 103/MBQH-UBND ngày 16/12/2019)</t>
  </si>
  <si>
    <t>64</t>
  </si>
  <si>
    <t>Hạ tầng kỹ thuật khu dân cư mới tại thôn 2 Nghĩa Trang, xã H.Kim, huyện Hoằng Hóa (MBQH số 01,02/MBQH-UBND ngày 12/03/2020)</t>
  </si>
  <si>
    <t>65</t>
  </si>
  <si>
    <t>Khu dân cư thôn Trịnh Thôn, xã Hoằng Phú (mặt bằng KQ4)</t>
  </si>
  <si>
    <t>66</t>
  </si>
  <si>
    <t>Hạ tầng kỹ thuật khu dân cư thôn 5, thôn 6, thôn 7, xã Hoằng Kim, huyện Hoằng Hóa (Mặt bằng số 17).</t>
  </si>
  <si>
    <t>67</t>
  </si>
  <si>
    <t>Lập quy hoạch chung đô thị Phú Quý, huyện Hoằng Hóa, tỉnh Thanh Hóa đến năm 2040</t>
  </si>
  <si>
    <t>68</t>
  </si>
  <si>
    <t>Đầu tư xây dựng khu trung tâm VH - TDTT khu vực phía Bắc huyện Hoằng Hóa</t>
  </si>
  <si>
    <t>69</t>
  </si>
  <si>
    <t>Lập quy hoạch chung đô thị huyện Hoằng Hóa đến 2045</t>
  </si>
  <si>
    <t>II</t>
  </si>
  <si>
    <t>DỰ ÁN  CƠ BẢN HOÀN THÀNH CHƯA PHÊ DUYỆT QUYẾT TOÁN</t>
  </si>
  <si>
    <t>XÃ HOẰNG PHÚ CŨ</t>
  </si>
  <si>
    <t xml:space="preserve">Đường GT Trịnh Thôn ra Nghĩa Địa </t>
  </si>
  <si>
    <t>Xã Hoằng Phú cũ</t>
  </si>
  <si>
    <t xml:space="preserve">Rãnh thoát nước khu dân cư trịnh Thôn </t>
  </si>
  <si>
    <t>Nâng cấp đường giao thông, tuyến đường 01-02 thôn Trịnh Thôn, tuyến đường 04-05 thôn Phú Trung, xã Hoằng Phú</t>
  </si>
  <si>
    <t xml:space="preserve">68/NQ-HĐND ngày 22/07 / 2024  </t>
  </si>
  <si>
    <t>Hạ tầng kỹ thuật nghĩa trang mở rộng</t>
  </si>
  <si>
    <t>Nâng cấp, cải tạo các tuyến đường trên địa bàn thôn Phú Thượng, Trịnh Thôn,Trung Tây xã Hoằng Phú</t>
  </si>
  <si>
    <t>Sửa chữa, cải tạo trụ sở UBND xã Hoằng Phú</t>
  </si>
  <si>
    <t>Sữa chữa, cải tạo trụ sở Đảng ủy xã Hoằng Phú</t>
  </si>
  <si>
    <t>XÃ HOẰNG KIM CŨ</t>
  </si>
  <si>
    <t>Nâng cấp, cải tạo đường GTNT xã Hoằng Kim (Tuyến từ QL1A đi UBND xã Hoằng Kim, tuyến đường từ QL1A đi thôn 1 và tuyến đường nhánh sau chợ Già)</t>
  </si>
  <si>
    <t>Xã Hoằng Kim cũ</t>
  </si>
  <si>
    <t>NQSố 29/ ngày 28/12/2023</t>
  </si>
  <si>
    <t>Trường tiểu học Hoằng Kim. Hạng mục: Nhà lớp học 3 tầng 18 phòng và các công trình phụ trợ</t>
  </si>
  <si>
    <t>Trường THCS Hoằng Kim. Hạng mục: Xây  dựng nhà hiệu bộ, cải tạo nhà lớp học 2 tầng 4 phòng, Nhà lớp họ 2 tầng 8 phòng và các công trình phụ trợ</t>
  </si>
  <si>
    <t>Trường tiểu học Hoằng Kim. Hạng mục: Nhà hiệu bộ, nhà lớp học 2 tầng  và các công trình phụ trợ</t>
  </si>
  <si>
    <t xml:space="preserve">Nâng cấp , mở rộng tuyến đường khuôn viên nghĩa trang mã Nạy cũ, xã Hoằng Quý </t>
  </si>
  <si>
    <t>85/QĐ-UBND ngày 26/8/2024</t>
  </si>
  <si>
    <t xml:space="preserve">CT tuyến đường phía nam từ mốc M3-M4 MBQH chi tiết tỷ lệ 1/500 mở rộng Nghĩa trang mã Nạy, xã Hoằng Quý </t>
  </si>
  <si>
    <t>162/QĐ-UBND ngày 25/4/2025</t>
  </si>
  <si>
    <t>Cải tạo các hạng mục phụ trợ Trường mầm non xã Hoằng Quý</t>
  </si>
  <si>
    <t>85/NQ-HĐND ngày 24/7/2024</t>
  </si>
  <si>
    <t>Chỉnh trang nhà lớp học, nhà hiệu bộ và khuôn viên trường tiểu học xã Hoằng Quý</t>
  </si>
  <si>
    <t>85/NQ-HĐND ngày 24/7/2025</t>
  </si>
  <si>
    <t>Điều chỉnh cục bộ quy hoạch chung Đô thị Phú Quý xã Hoằng Phú, tỉnh Thanh Hóa</t>
  </si>
  <si>
    <t>Xã Hoằng Phú</t>
  </si>
  <si>
    <t>Điều chỉnh cục bộ quy hoạch tổng mặt bằng tỷ lệ 1/500 khu dân cư thôn 2 xã Hoằng Kim,huyện Hoằng Hóa</t>
  </si>
  <si>
    <t>Điều chỉnh cục bộ quy hoạch Đồ án quy hoạch chi tiết 1/500 khu tái định cư và tạo nguồn đối ứng thực hiện dự án Đường nối Quốc lộ 1A với Quốc lộ 45 từ xã Hoằng Kim , huyện Hoằng Hóa đến xã Thiệu Long, huyện Thiệu Hóa (Đoạn từ nút giao với Quốc lộ 1A đến cầu vượt Sông Mã)</t>
  </si>
  <si>
    <t>Xây mới nhà ăn, sơn lại phòng làm việc, cải tạo khu vệ sinh và các hạng mục phụ trợ tại trụ sở Công an xã Hoằng Phú, tỉnh Thanh Hóa</t>
  </si>
  <si>
    <t>Lắp đặt biển báo địa giới, biển báo giao thông, gờ giảm tốc trên địa bàn xã Hoằng Phú, tỉnh Thanh Hóa</t>
  </si>
  <si>
    <t>Cải tạo, sửa chữa hệ thống loa truyền thanh xã Hoằng Phú, tỉnh Thanh Hóa</t>
  </si>
  <si>
    <t>pt</t>
  </si>
  <si>
    <t>Lắp đặt hệ thống biển bảng ở các trụ sở và phòng làm việc của trụ sở Đảng ủy, trụ sở HĐND-UBND; trụ sở Công an, Trung tâm cung ứng dịch vụ công xã Hoằng Phú</t>
  </si>
  <si>
    <t>Nâng cấp, cải tạo trụ sở Đảng uỷ-UBMTTQ xã Hoằng Phú. Hạng mục: cải tạo nhà làm việc 2 tầng, đầu tư cơ sở vật chất và các hạng mục phụ trợ</t>
  </si>
  <si>
    <t>Nâng cấp, cải tạo trụ sở HĐND và UBND xã Hoằng Phú. Hạng mục: cải tạo nhà làm việc 3 tầng, đầu tư cơ sở vật chất và các hạng mục phụ trợ</t>
  </si>
  <si>
    <t>Khắc phục hậu quả thiên tai do ảnh hưởng của cơn bão số 10 ngày 29/9/2025 những hạng mục thiết yếu đảm bảo công tác dạy và học tại Trường Mầm non Hoằng Quý, xã Hoằng Phú, tỉnh Thanh Hóa</t>
  </si>
  <si>
    <t>Khắc phục hậu quả thiên tai do ảnh hưởng của cơn bão số 10 ngày 29/9/2025 những hạng mục thiết yếu đảm bảo công tác dạy và học tại Trường tiểu học Hoằng Quý, xã Hoằng Phú, tỉnh Thanh Hóa</t>
  </si>
  <si>
    <t>Khắc phục hậu quả thiên tai do ảnh hưởng của cơn bão số 10 ngày 29/9/2025 những hạng mục thiết yếu đảm bảo công tác dạy và học tại Trường THCS Hoằng Quý, xã Hoằng Phú, tỉnh Thanh Hóa</t>
  </si>
  <si>
    <t xml:space="preserve">Trường tiểu học Hoằng Trung, xã Hoằng Phú, tỉnh Thanh Hóa. Hạng mục: Nhà đa năng, cải tạo nhà lớp học, công trình phụ trợ và mua sắm cơ sở vật chất </t>
  </si>
  <si>
    <t>III</t>
  </si>
  <si>
    <t>DỰ ÁN CHUYỂN TIẾP HOÀN THÀNH TRONG NĂM 2026</t>
  </si>
  <si>
    <t>Đình làng Phú Khê xã Hoằng Phú</t>
  </si>
  <si>
    <t xml:space="preserve">Trường mầm non xã Hoằng Kim </t>
  </si>
  <si>
    <t>Nâng cấp, mở rộng các tuyến đường giao thông nông thôn xã Hoằng Kim. Hạng mục: Tuyến ao sen thôn 1 đi trường PTTH Hoằng Hóa 2; Tuyến từ đường 06 Kim Sơn đi xã Hoằng Xuân,tuyến từ UBND xã đi chợ Già, đi xã Hoằng Trung; tuyến từ đường Kim Sơn vào khu nghĩa địa Nghĩa trang; Cầu Ông Trung; Cầu Bản Thị; cầu Trung Tiến</t>
  </si>
  <si>
    <t>Cải tạo sửa chưã nhà bia ghi tên liệt sỹ xã Hoằng Kim</t>
  </si>
  <si>
    <t>Cải tạo nhà vệ sinh, nhà lớp học và đầu tư cơ sở vật chất khối trường THCS trên địa bàn xã Hoằng Phú, tỉnh Thanh Hoá</t>
  </si>
  <si>
    <t>cgdc2</t>
  </si>
  <si>
    <t>Cải tạo hệ thống nhà vệ sinh, đầu tư cơ sở vật chất và các hạng mục phụ trợ khối Trường mầm non trên địa bàn xã Hoằng Phú, tỉnh Thanh Hoá</t>
  </si>
  <si>
    <t>Cải tạo hệ thống nhà vệ sinh, nhà lớp học và công trình phụ trợ khối trường tiểu học trên địa bàn xã Hoằng Phú, tỉnh Thanh Hoá</t>
  </si>
  <si>
    <t>Trường THCS Hoằng Kim, xã Hoằng Phú, tỉnh Thanh Hóa. Hạng mục: Nhà đa năng, nhà xe, công trình phụ trợ và mua sắm cơ sở vật chất</t>
  </si>
  <si>
    <t>Trường tiểu học Hoằng Kim, xã Hoằng Phú, tỉnh Thanh Hóa. Hạng mục: Nhà đa năng, nhà xe, công trình phụ trợ và mua sắm cơ sở vật chất</t>
  </si>
  <si>
    <t>Hạ tầng kỹ thuật Khu tái định cư và tạo nguồn đối ứng thực hiện dự án Đường nối Quốc lộ 1A với Quốc lộ 45  từ xã Hoằng Kim, huyện Hoằng Hóa đến xã Thiệu Long, huyện Thiệu Hóa  (đoạn từ nút giao với Quốc lộ 1A đến đầu cầu vượt sông Mã) Giai đoạn 2</t>
  </si>
  <si>
    <t>Hạ tầng kỹ thuật khu tái định cư thôn 2, xã Hoằng Phú, tỉnh Thanh Hóa (Phục vụ giải phóng mặt bằng dự án đường sắt tốc độ cao trên trục Bắc – Nam đoạn qua xã Hoằng Phú)</t>
  </si>
  <si>
    <t>Hạ tầng kỹ thuật khu tái định cư thôn Xa Vệ, xã Hoằng Phú, tỉnh Thanh Hóa (Phục vụ giải phóng mặt bằng dự án đường sắt tốc độ cao trên trục Bắc – Nam đoạn qua xã Hoằng Phú)</t>
  </si>
  <si>
    <t>Hệ thống điện chiếu sáng tuyến đường nối QL1 đi QL45 và tuyến đường Kim Quỳ, xã Hoằng Phú, tỉnh Thanh Hóa</t>
  </si>
  <si>
    <t>Hạ tầng khu dân cư thôn Sao Vàng 2 xã Hoằng Quý (MBQH số 11 ngày 18/5/2020)</t>
  </si>
  <si>
    <t>Di chuyển đường điện chiếu sáng công cộng để thực hiện dự án đường nối QL1A với QL45 từ xã Hoằng Kim, huyện Hoằng Hóa đến xã Thiệu Long, huyện Thiệu Hóa (Đoạn từ nút giao QL1A đến cầu vượt sông Mã) và dự án Hạ tầng kỹ thuật khu dân cư mới tại thôn 2 Nghĩa Trang, xã Hoằng Kim, huyện Hoằng Hóa (MBQH số 02/MBQH-UBND ngày 12/3/2020) đợt 1.</t>
  </si>
  <si>
    <t>Chỉnh trang khuôn viên ao cá Bác Hồ, công viên Bắc Hoằng Hóa và khu vực phụ cận xã Hoằng Phú, tỉnh Thanh Hóa</t>
  </si>
  <si>
    <t>Lắp đặt  hệ thống camera an  ninh trên địa bàn xã Hoằng Phú, tỉnh Thanh Hoá</t>
  </si>
  <si>
    <t>Tổng cộng</t>
  </si>
  <si>
    <t>Vốn ngân sách tỉnh</t>
  </si>
  <si>
    <t>Vốn NS xã từ nguồn tăng thu, DT chi còn lai năm 2025</t>
  </si>
  <si>
    <t>Vốn NS xã Từ tiền đất 2026</t>
  </si>
  <si>
    <t>Điều chỉnh tăng KHV đầu tư công năm 2026</t>
  </si>
  <si>
    <t>Kế hoạch vốn đầu tư công năm 2026</t>
  </si>
  <si>
    <t>Điều chỉnh giảm KHV đầu tư công năm 2026</t>
  </si>
  <si>
    <t>Kế hoạch vốn đầu tư công sau điều chỉnh lần 1</t>
  </si>
  <si>
    <t>Vốn ngân sách xã từ tiền đất</t>
  </si>
  <si>
    <t>Vốn ngân sách TW</t>
  </si>
  <si>
    <t>Chia lĩnh vực</t>
  </si>
  <si>
    <t>IV</t>
  </si>
  <si>
    <t>Phân bổ sau cho các dự án khi đủ điều kiện</t>
  </si>
  <si>
    <t>Vốn NS xã 2026 từ nguồn tăng thu, DT chi còn lai năm 2025</t>
  </si>
  <si>
    <t>Vốn NS xã 2026 từ nguồn tăng thu, DT chi còn lại năm 2025</t>
  </si>
  <si>
    <t>Giảm kinh phí GPMB để chờ kết luận của cơ quan kiểm tra</t>
  </si>
  <si>
    <t>Dự án bàn giao cho Viện quy hoạch theo chỉ đạo của UBND tỉnh</t>
  </si>
  <si>
    <t>Đơn vị tính: triệu đồng</t>
  </si>
  <si>
    <t>PHỤ LỤC 1: DIỀU CHỈNH KẾ HOẠCH VỐN ĐẦU TƯ CÔNG NGÂN SÁCH XÃ NĂM 2026 (ĐIỀU CHỈNH ĐỢT 1)</t>
  </si>
  <si>
    <t>PHỤ LỤC 2: KẾ HOẠCH VỐN ĐẦU TƯ CÔNG NGÂN SÁCH XÃ NĂM 2026 (ĐIỀU CHỈNH ĐỢT 1)</t>
  </si>
  <si>
    <t>(Kèm theo Nghị Quyết số       /NQ-HĐND ngày 25/3/2026 của HĐND xã Hoằng Phú)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</si>
</sst>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 _₫_-;\-* #,##0\ _₫_-;_-* &quot;-&quot;\ _₫_-;_-@_-"/>
    <numFmt numFmtId="43" formatCode="_-* #,##0.00\ _₫_-;\-* #,##0.00\ _₫_-;_-* &quot;-&quot;??\ _₫_-;_-@_-"/>
    <numFmt numFmtId="164" formatCode="_(* #,##0_);_(* \(#,##0\);_(* &quot;-&quot;_);_(@_)"/>
    <numFmt numFmtId="165" formatCode="_(* #,##0.00_);_(* \(#,##0.00\);_(* &quot;-&quot;??_);_(@_)"/>
    <numFmt numFmtId="166" formatCode="_(* #,##0_);_(* \(#,##0\);_(* &quot;-&quot;??_);_(@_)"/>
    <numFmt numFmtId="167" formatCode="_(* #,##0.0_);_(* \(#,##0.0\);_(* &quot;-&quot;??_);_(@_)"/>
    <numFmt numFmtId="168" formatCode="#,##0;[Red]\-#,##0;&quot;-&quot;"/>
    <numFmt numFmtId="169" formatCode="_-* #,##0_-;\-* #,##0_-;_-* &quot;-&quot;??_-;_-@_-"/>
    <numFmt numFmtId="170" formatCode="_-* #,##0\ _₫_-;\-* #,##0\ _₫_-;_-* &quot;-&quot;??\ _₫_-;_-@_-"/>
    <numFmt numFmtId="171" formatCode="_-* #,##0.00_-;\-* #,##0.00_-;_-* &quot;-&quot;??_-;_-@_-"/>
  </numFmts>
  <fonts count="30" x14ac:knownFonts="1">
    <font>
      <sz val="13"/>
      <color theme="1"/>
      <name val="Times New Roman"/>
      <family val="2"/>
      <charset val="163"/>
    </font>
    <font>
      <sz val="13"/>
      <color theme="1"/>
      <name val="Times New Roman"/>
      <family val="2"/>
      <charset val="163"/>
    </font>
    <font>
      <sz val="10"/>
      <name val="Arial"/>
      <family val="2"/>
    </font>
    <font>
      <b/>
      <sz val="12"/>
      <name val="Times New Roman"/>
      <family val="1"/>
      <charset val="163"/>
    </font>
    <font>
      <i/>
      <sz val="12"/>
      <name val="Times New Roman"/>
      <family val="1"/>
      <charset val="163"/>
    </font>
    <font>
      <sz val="11"/>
      <color indexed="8"/>
      <name val="Calibri"/>
      <family val="2"/>
    </font>
    <font>
      <sz val="12"/>
      <name val="Times New Roman"/>
      <family val="1"/>
      <charset val="163"/>
    </font>
    <font>
      <sz val="11"/>
      <color theme="1"/>
      <name val="Calibri"/>
      <family val="2"/>
      <scheme val="minor"/>
    </font>
    <font>
      <b/>
      <sz val="12"/>
      <color rgb="FFFF0000"/>
      <name val="Times New Roman"/>
      <family val="1"/>
      <charset val="163"/>
    </font>
    <font>
      <sz val="12"/>
      <color rgb="FFFF0000"/>
      <name val="Times New Roman"/>
      <family val="1"/>
      <charset val="163"/>
    </font>
    <font>
      <sz val="12"/>
      <name val="Times New Roman"/>
      <family val="1"/>
    </font>
    <font>
      <sz val="10"/>
      <name val="Times New Roman"/>
      <family val="1"/>
    </font>
    <font>
      <sz val="12"/>
      <color rgb="FF000000"/>
      <name val="Times New Roman"/>
      <family val="1"/>
      <charset val="163"/>
    </font>
    <font>
      <sz val="12"/>
      <color theme="1"/>
      <name val="Times New Roman"/>
      <family val="1"/>
      <charset val="163"/>
    </font>
    <font>
      <b/>
      <sz val="12"/>
      <color rgb="FFFF0000"/>
      <name val="Times New Roman"/>
      <family val="1"/>
    </font>
    <font>
      <b/>
      <sz val="9"/>
      <color indexed="81"/>
      <name val="Tahoma"/>
      <family val="2"/>
    </font>
    <font>
      <sz val="9"/>
      <color indexed="81"/>
      <name val="Tahoma"/>
      <family val="2"/>
    </font>
    <font>
      <sz val="12"/>
      <name val=".VnTime"/>
      <family val="2"/>
    </font>
    <font>
      <sz val="14"/>
      <name val="Times New Roman"/>
      <family val="1"/>
    </font>
    <font>
      <sz val="12"/>
      <color theme="1"/>
      <name val="Times New Roman"/>
      <family val="2"/>
    </font>
    <font>
      <sz val="13"/>
      <color theme="1"/>
      <name val="Times New Roman"/>
      <family val="2"/>
    </font>
    <font>
      <b/>
      <sz val="15"/>
      <color indexed="56"/>
      <name val=".VnTime"/>
      <family val="2"/>
    </font>
    <font>
      <sz val="11"/>
      <color theme="1"/>
      <name val="Calibri"/>
      <family val="2"/>
      <charset val="163"/>
      <scheme val="minor"/>
    </font>
    <font>
      <sz val="11"/>
      <color theme="1"/>
      <name val="Calibri"/>
      <family val="2"/>
    </font>
    <font>
      <sz val="11"/>
      <color indexed="9"/>
      <name val="Arial"/>
      <family val="2"/>
      <charset val="163"/>
    </font>
    <font>
      <sz val="11"/>
      <name val=".VnTime"/>
      <family val="2"/>
    </font>
    <font>
      <b/>
      <sz val="12"/>
      <name val="Times New Roman"/>
      <family val="1"/>
    </font>
    <font>
      <b/>
      <sz val="10"/>
      <name val="Times New Roman"/>
      <family val="1"/>
    </font>
    <font>
      <b/>
      <i/>
      <sz val="12"/>
      <name val="Times New Roman"/>
      <family val="1"/>
    </font>
    <font>
      <sz val="8"/>
      <name val="Times New Roman"/>
      <family val="2"/>
      <charset val="163"/>
    </font>
  </fonts>
  <fills count="3">
    <fill>
      <patternFill patternType="none"/>
    </fill>
    <fill>
      <patternFill patternType="gray125"/>
    </fill>
    <fill>
      <patternFill patternType="solid">
        <fgColor indexed="26"/>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6">
    <xf numFmtId="0" fontId="0"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10" fillId="0" borderId="0"/>
    <xf numFmtId="165" fontId="11"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0" fontId="2" fillId="0" borderId="0"/>
    <xf numFmtId="43" fontId="7" fillId="0" borderId="0" applyFont="0" applyFill="0" applyBorder="0" applyAlignment="0" applyProtection="0"/>
    <xf numFmtId="0" fontId="10" fillId="0" borderId="0"/>
    <xf numFmtId="0" fontId="2" fillId="0" borderId="0"/>
    <xf numFmtId="0" fontId="17" fillId="0" borderId="0"/>
    <xf numFmtId="0" fontId="17" fillId="0" borderId="0"/>
    <xf numFmtId="0" fontId="17" fillId="0" borderId="0"/>
    <xf numFmtId="41" fontId="7"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164" fontId="17" fillId="0" borderId="0" applyFont="0" applyFill="0" applyBorder="0" applyAlignment="0" applyProtection="0"/>
    <xf numFmtId="41" fontId="7" fillId="0" borderId="0" applyFont="0" applyFill="0" applyBorder="0" applyAlignment="0" applyProtection="0"/>
    <xf numFmtId="165" fontId="19" fillId="0" borderId="0" applyFont="0" applyFill="0" applyBorder="0" applyAlignment="0" applyProtection="0"/>
    <xf numFmtId="165" fontId="5" fillId="0" borderId="0" applyFont="0" applyFill="0" applyBorder="0" applyAlignment="0" applyProtection="0"/>
    <xf numFmtId="165" fontId="18"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5"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71" fontId="5"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5" fillId="0" borderId="0" applyFont="0" applyFill="0" applyBorder="0" applyAlignment="0" applyProtection="0"/>
    <xf numFmtId="165" fontId="19"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9" fillId="0" borderId="0" applyFont="0" applyFill="0" applyBorder="0" applyAlignment="0" applyProtection="0"/>
    <xf numFmtId="43" fontId="20" fillId="0" borderId="0" applyFont="0" applyFill="0" applyBorder="0" applyAlignment="0" applyProtection="0"/>
    <xf numFmtId="165" fontId="18" fillId="0" borderId="0" applyFont="0" applyFill="0" applyBorder="0" applyAlignment="0" applyProtection="0"/>
    <xf numFmtId="171" fontId="5" fillId="0" borderId="0" applyFont="0" applyFill="0" applyBorder="0" applyAlignment="0" applyProtection="0"/>
    <xf numFmtId="165" fontId="1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18" fillId="0" borderId="0" applyFont="0" applyFill="0" applyBorder="0" applyAlignment="0" applyProtection="0"/>
    <xf numFmtId="165" fontId="19" fillId="0" borderId="0" applyFont="0" applyFill="0" applyBorder="0" applyAlignment="0" applyProtection="0"/>
    <xf numFmtId="0" fontId="21" fillId="0" borderId="3" applyNumberFormat="0" applyFill="0" applyAlignment="0" applyProtection="0"/>
    <xf numFmtId="0" fontId="22" fillId="0" borderId="0"/>
    <xf numFmtId="0" fontId="18" fillId="0" borderId="0"/>
    <xf numFmtId="0" fontId="23" fillId="0" borderId="0"/>
    <xf numFmtId="0" fontId="10" fillId="0" borderId="0"/>
    <xf numFmtId="0" fontId="2" fillId="0" borderId="0"/>
    <xf numFmtId="0" fontId="19" fillId="0" borderId="0"/>
    <xf numFmtId="0" fontId="17" fillId="0" borderId="0"/>
    <xf numFmtId="0" fontId="7" fillId="0" borderId="0"/>
    <xf numFmtId="0" fontId="2" fillId="0" borderId="0"/>
    <xf numFmtId="0" fontId="17" fillId="0" borderId="0"/>
    <xf numFmtId="0" fontId="24" fillId="0" borderId="0" applyFill="0" applyProtection="0"/>
    <xf numFmtId="0" fontId="11" fillId="0" borderId="0"/>
    <xf numFmtId="0" fontId="25" fillId="0" borderId="0"/>
    <xf numFmtId="0" fontId="25" fillId="0" borderId="0"/>
    <xf numFmtId="0" fontId="1" fillId="0" borderId="0"/>
    <xf numFmtId="0" fontId="18" fillId="0" borderId="0"/>
    <xf numFmtId="0" fontId="7" fillId="0" borderId="0"/>
    <xf numFmtId="0" fontId="17" fillId="2" borderId="4" applyNumberFormat="0" applyFont="0" applyAlignment="0" applyProtection="0"/>
  </cellStyleXfs>
  <cellXfs count="140">
    <xf numFmtId="0" fontId="0" fillId="0" borderId="0" xfId="0"/>
    <xf numFmtId="166" fontId="4" fillId="0" borderId="1" xfId="2" applyNumberFormat="1" applyFont="1" applyFill="1" applyBorder="1" applyAlignment="1">
      <alignment vertical="center"/>
    </xf>
    <xf numFmtId="3" fontId="4" fillId="0" borderId="1" xfId="2" applyNumberFormat="1" applyFont="1" applyFill="1" applyBorder="1" applyAlignment="1">
      <alignment vertical="center"/>
    </xf>
    <xf numFmtId="1" fontId="6" fillId="0" borderId="0" xfId="1" applyNumberFormat="1" applyFont="1" applyAlignment="1">
      <alignment vertical="center"/>
    </xf>
    <xf numFmtId="166" fontId="6" fillId="0" borderId="2" xfId="2" quotePrefix="1" applyNumberFormat="1" applyFont="1" applyFill="1" applyBorder="1" applyAlignment="1">
      <alignment horizontal="center" vertical="center" wrapText="1"/>
    </xf>
    <xf numFmtId="3" fontId="3" fillId="0" borderId="2" xfId="2" quotePrefix="1" applyNumberFormat="1" applyFont="1" applyFill="1" applyBorder="1" applyAlignment="1">
      <alignment vertical="center" wrapText="1"/>
    </xf>
    <xf numFmtId="166" fontId="3" fillId="0" borderId="2" xfId="2" quotePrefix="1" applyNumberFormat="1" applyFont="1" applyFill="1" applyBorder="1" applyAlignment="1">
      <alignment vertical="center" wrapText="1"/>
    </xf>
    <xf numFmtId="166" fontId="3" fillId="0" borderId="2" xfId="2" quotePrefix="1" applyNumberFormat="1" applyFont="1" applyFill="1" applyBorder="1" applyAlignment="1">
      <alignment horizontal="right" vertical="center" wrapText="1"/>
    </xf>
    <xf numFmtId="166" fontId="9" fillId="0" borderId="2" xfId="2" applyNumberFormat="1" applyFont="1" applyFill="1" applyBorder="1" applyAlignment="1">
      <alignment horizontal="center" vertical="center" wrapText="1"/>
    </xf>
    <xf numFmtId="3" fontId="8" fillId="0" borderId="2" xfId="2" applyNumberFormat="1" applyFont="1" applyFill="1" applyBorder="1" applyAlignment="1">
      <alignment horizontal="right" vertical="center"/>
    </xf>
    <xf numFmtId="166" fontId="8" fillId="0" borderId="2" xfId="2" applyNumberFormat="1" applyFont="1" applyFill="1" applyBorder="1" applyAlignment="1">
      <alignment horizontal="right" vertical="center"/>
    </xf>
    <xf numFmtId="166" fontId="8" fillId="0" borderId="2" xfId="2" applyNumberFormat="1" applyFont="1" applyFill="1" applyBorder="1" applyAlignment="1">
      <alignment horizontal="center" vertical="center" wrapText="1"/>
    </xf>
    <xf numFmtId="166" fontId="6" fillId="0" borderId="2" xfId="2" applyNumberFormat="1" applyFont="1" applyFill="1" applyBorder="1" applyAlignment="1">
      <alignment horizontal="center" vertical="center" wrapText="1"/>
    </xf>
    <xf numFmtId="3" fontId="3" fillId="0" borderId="2" xfId="2" applyNumberFormat="1" applyFont="1" applyFill="1" applyBorder="1" applyAlignment="1">
      <alignment horizontal="right" vertical="center"/>
    </xf>
    <xf numFmtId="3" fontId="6" fillId="0" borderId="2" xfId="2" applyNumberFormat="1" applyFont="1" applyFill="1" applyBorder="1" applyAlignment="1">
      <alignment horizontal="right" vertical="center"/>
    </xf>
    <xf numFmtId="167" fontId="3" fillId="0" borderId="2" xfId="2" applyNumberFormat="1" applyFont="1" applyFill="1" applyBorder="1" applyAlignment="1">
      <alignment horizontal="right" vertical="center"/>
    </xf>
    <xf numFmtId="166" fontId="3" fillId="0" borderId="2" xfId="2" applyNumberFormat="1" applyFont="1" applyFill="1" applyBorder="1" applyAlignment="1">
      <alignment horizontal="center" vertical="center" wrapText="1"/>
    </xf>
    <xf numFmtId="167" fontId="6" fillId="0" borderId="2" xfId="2" applyNumberFormat="1" applyFont="1" applyFill="1" applyBorder="1" applyAlignment="1">
      <alignment horizontal="right" vertical="center"/>
    </xf>
    <xf numFmtId="166" fontId="6" fillId="0" borderId="2" xfId="6" applyNumberFormat="1" applyFont="1" applyFill="1" applyBorder="1" applyAlignment="1">
      <alignment horizontal="center" vertical="center" wrapText="1"/>
    </xf>
    <xf numFmtId="166" fontId="6" fillId="0" borderId="2" xfId="7" applyNumberFormat="1" applyFont="1" applyFill="1" applyBorder="1" applyAlignment="1">
      <alignment vertical="center" wrapText="1"/>
    </xf>
    <xf numFmtId="166" fontId="6" fillId="0" borderId="2" xfId="8" quotePrefix="1" applyNumberFormat="1" applyFont="1" applyFill="1" applyBorder="1" applyAlignment="1">
      <alignment horizontal="left" vertical="center" wrapText="1"/>
    </xf>
    <xf numFmtId="167" fontId="8" fillId="0" borderId="2" xfId="2" applyNumberFormat="1" applyFont="1" applyFill="1" applyBorder="1" applyAlignment="1">
      <alignment horizontal="right" vertical="center"/>
    </xf>
    <xf numFmtId="3" fontId="6" fillId="0" borderId="2" xfId="2" applyNumberFormat="1" applyFont="1" applyFill="1" applyBorder="1" applyAlignment="1">
      <alignment vertical="center"/>
    </xf>
    <xf numFmtId="167" fontId="6" fillId="0" borderId="2" xfId="2" applyNumberFormat="1" applyFont="1" applyFill="1" applyBorder="1" applyAlignment="1">
      <alignment vertical="center"/>
    </xf>
    <xf numFmtId="166" fontId="3" fillId="0" borderId="0" xfId="2" applyNumberFormat="1" applyFont="1" applyFill="1" applyBorder="1" applyAlignment="1">
      <alignment vertical="center"/>
    </xf>
    <xf numFmtId="166" fontId="6" fillId="0" borderId="2" xfId="2" applyNumberFormat="1" applyFont="1" applyFill="1" applyBorder="1" applyAlignment="1">
      <alignment vertical="center"/>
    </xf>
    <xf numFmtId="3" fontId="9" fillId="0" borderId="2" xfId="2" applyNumberFormat="1" applyFont="1" applyFill="1" applyBorder="1" applyAlignment="1">
      <alignment vertical="center"/>
    </xf>
    <xf numFmtId="3" fontId="14" fillId="0" borderId="2" xfId="2" applyNumberFormat="1" applyFont="1" applyFill="1" applyBorder="1" applyAlignment="1">
      <alignment horizontal="right" vertical="center"/>
    </xf>
    <xf numFmtId="166" fontId="6" fillId="0" borderId="0" xfId="2" applyNumberFormat="1" applyFont="1" applyFill="1" applyBorder="1" applyAlignment="1">
      <alignment horizontal="center" vertical="center" wrapText="1"/>
    </xf>
    <xf numFmtId="166" fontId="6" fillId="0" borderId="0" xfId="2" applyNumberFormat="1" applyFont="1" applyFill="1" applyBorder="1" applyAlignment="1">
      <alignment horizontal="right" vertical="center"/>
    </xf>
    <xf numFmtId="166" fontId="6" fillId="0" borderId="0" xfId="2" applyNumberFormat="1" applyFont="1" applyFill="1" applyBorder="1" applyAlignment="1">
      <alignment vertical="center"/>
    </xf>
    <xf numFmtId="166" fontId="26" fillId="0" borderId="2" xfId="7" applyNumberFormat="1" applyFont="1" applyFill="1" applyBorder="1" applyAlignment="1">
      <alignment vertical="center" wrapText="1"/>
    </xf>
    <xf numFmtId="3" fontId="9" fillId="0" borderId="2" xfId="2" applyNumberFormat="1" applyFont="1" applyFill="1" applyBorder="1" applyAlignment="1">
      <alignment horizontal="right" vertical="center"/>
    </xf>
    <xf numFmtId="166" fontId="28" fillId="0" borderId="1" xfId="2" applyNumberFormat="1" applyFont="1" applyFill="1" applyBorder="1" applyAlignment="1">
      <alignment vertical="center"/>
    </xf>
    <xf numFmtId="3" fontId="26" fillId="0" borderId="2" xfId="2" applyNumberFormat="1" applyFont="1" applyFill="1" applyBorder="1" applyAlignment="1">
      <alignment horizontal="right" vertical="center"/>
    </xf>
    <xf numFmtId="166" fontId="26" fillId="0" borderId="0" xfId="2" applyNumberFormat="1" applyFont="1" applyFill="1" applyBorder="1" applyAlignment="1">
      <alignment vertical="center"/>
    </xf>
    <xf numFmtId="1" fontId="3" fillId="0" borderId="0" xfId="1" applyNumberFormat="1" applyFont="1" applyAlignment="1">
      <alignment vertical="center"/>
    </xf>
    <xf numFmtId="1" fontId="4" fillId="0" borderId="0" xfId="1" applyNumberFormat="1" applyFont="1" applyAlignment="1">
      <alignment vertical="center"/>
    </xf>
    <xf numFmtId="1" fontId="4" fillId="0" borderId="0" xfId="1" applyNumberFormat="1" applyFont="1" applyAlignment="1">
      <alignment horizontal="right" vertical="center"/>
    </xf>
    <xf numFmtId="3" fontId="3" fillId="0" borderId="0" xfId="1" applyNumberFormat="1" applyFont="1" applyAlignment="1">
      <alignment horizontal="center" vertical="center" wrapText="1"/>
    </xf>
    <xf numFmtId="3" fontId="3" fillId="0" borderId="2" xfId="1" applyNumberFormat="1" applyFont="1" applyBorder="1" applyAlignment="1">
      <alignment horizontal="center" vertical="center" wrapText="1"/>
    </xf>
    <xf numFmtId="0" fontId="3" fillId="0" borderId="2" xfId="4" applyFont="1" applyBorder="1" applyAlignment="1">
      <alignment horizontal="center" vertical="center"/>
    </xf>
    <xf numFmtId="3" fontId="3" fillId="0" borderId="2" xfId="1" quotePrefix="1" applyNumberFormat="1" applyFont="1" applyBorder="1" applyAlignment="1">
      <alignment horizontal="center" vertical="center" wrapText="1"/>
    </xf>
    <xf numFmtId="3" fontId="3" fillId="0" borderId="0" xfId="1" applyNumberFormat="1" applyFont="1" applyAlignment="1">
      <alignment vertical="center" wrapText="1"/>
    </xf>
    <xf numFmtId="49" fontId="8" fillId="0" borderId="2" xfId="1" applyNumberFormat="1" applyFont="1" applyBorder="1" applyAlignment="1">
      <alignment horizontal="center" vertical="center"/>
    </xf>
    <xf numFmtId="1" fontId="8" fillId="0" borderId="2" xfId="1" applyNumberFormat="1" applyFont="1" applyBorder="1" applyAlignment="1">
      <alignment horizontal="justify" vertical="center" wrapText="1"/>
    </xf>
    <xf numFmtId="1" fontId="8" fillId="0" borderId="0" xfId="1" applyNumberFormat="1" applyFont="1" applyAlignment="1">
      <alignment vertical="center"/>
    </xf>
    <xf numFmtId="49" fontId="3" fillId="0" borderId="2" xfId="1" applyNumberFormat="1" applyFont="1" applyBorder="1" applyAlignment="1">
      <alignment horizontal="center" vertical="center"/>
    </xf>
    <xf numFmtId="1" fontId="3" fillId="0" borderId="2" xfId="1" applyNumberFormat="1" applyFont="1" applyBorder="1" applyAlignment="1">
      <alignment horizontal="justify" vertical="center" wrapText="1"/>
    </xf>
    <xf numFmtId="49" fontId="6" fillId="0" borderId="2" xfId="1" applyNumberFormat="1" applyFont="1" applyBorder="1" applyAlignment="1">
      <alignment horizontal="center" vertical="center"/>
    </xf>
    <xf numFmtId="0" fontId="6" fillId="0" borderId="2" xfId="5" applyFont="1" applyBorder="1" applyAlignment="1">
      <alignment vertical="center" wrapText="1"/>
    </xf>
    <xf numFmtId="0" fontId="6" fillId="0" borderId="2" xfId="4" applyFont="1" applyBorder="1" applyAlignment="1">
      <alignment wrapText="1"/>
    </xf>
    <xf numFmtId="1" fontId="6" fillId="0" borderId="2" xfId="5" applyNumberFormat="1" applyFont="1" applyBorder="1" applyAlignment="1">
      <alignment horizontal="center" vertical="center" wrapText="1"/>
    </xf>
    <xf numFmtId="166" fontId="6" fillId="0" borderId="2" xfId="5" applyNumberFormat="1" applyFont="1" applyBorder="1" applyAlignment="1">
      <alignment horizontal="left" vertical="center" wrapText="1"/>
    </xf>
    <xf numFmtId="166" fontId="6" fillId="0" borderId="2" xfId="5" applyNumberFormat="1" applyFont="1" applyBorder="1" applyAlignment="1">
      <alignment vertical="center" wrapText="1"/>
    </xf>
    <xf numFmtId="3" fontId="6" fillId="0" borderId="2" xfId="1" applyNumberFormat="1" applyFont="1" applyBorder="1" applyAlignment="1">
      <alignment horizontal="left" vertical="center" wrapText="1"/>
    </xf>
    <xf numFmtId="3" fontId="6" fillId="0" borderId="2" xfId="1" applyNumberFormat="1" applyFont="1" applyBorder="1" applyAlignment="1">
      <alignment horizontal="center" vertical="center" wrapText="1"/>
    </xf>
    <xf numFmtId="0" fontId="6" fillId="0" borderId="2" xfId="4" applyFont="1" applyBorder="1" applyAlignment="1">
      <alignment horizontal="left" vertical="center" wrapText="1"/>
    </xf>
    <xf numFmtId="0" fontId="6" fillId="0" borderId="2" xfId="4" applyFont="1" applyBorder="1" applyAlignment="1">
      <alignment horizontal="justify" vertical="center" wrapText="1"/>
    </xf>
    <xf numFmtId="0" fontId="6" fillId="0" borderId="2" xfId="0" applyFont="1" applyBorder="1" applyAlignment="1">
      <alignment horizontal="left" vertical="center" wrapText="1"/>
    </xf>
    <xf numFmtId="1" fontId="6" fillId="0" borderId="2" xfId="1" applyNumberFormat="1" applyFont="1" applyBorder="1" applyAlignment="1">
      <alignment vertical="center" wrapText="1"/>
    </xf>
    <xf numFmtId="0" fontId="6" fillId="0" borderId="2" xfId="9" applyFont="1" applyBorder="1" applyAlignment="1">
      <alignment horizontal="left" vertical="center" wrapText="1"/>
    </xf>
    <xf numFmtId="168" fontId="6" fillId="0" borderId="2" xfId="4" applyNumberFormat="1" applyFont="1" applyBorder="1" applyAlignment="1">
      <alignment horizontal="left" vertical="center" wrapText="1"/>
    </xf>
    <xf numFmtId="3" fontId="10" fillId="0" borderId="2" xfId="1" applyNumberFormat="1" applyFont="1" applyBorder="1" applyAlignment="1">
      <alignment vertical="center"/>
    </xf>
    <xf numFmtId="0" fontId="6" fillId="0" borderId="2" xfId="9" applyFont="1" applyBorder="1" applyAlignment="1">
      <alignment horizontal="center" vertical="center" wrapText="1"/>
    </xf>
    <xf numFmtId="0" fontId="13" fillId="0" borderId="2" xfId="4" applyFont="1" applyBorder="1" applyAlignment="1">
      <alignment wrapText="1"/>
    </xf>
    <xf numFmtId="169" fontId="3" fillId="0" borderId="2" xfId="2" applyNumberFormat="1" applyFont="1" applyFill="1" applyBorder="1" applyAlignment="1">
      <alignment horizontal="left" vertical="center" wrapText="1"/>
    </xf>
    <xf numFmtId="1" fontId="6" fillId="0" borderId="2" xfId="1" applyNumberFormat="1" applyFont="1" applyBorder="1" applyAlignment="1">
      <alignment horizontal="justify" vertical="top" wrapText="1"/>
    </xf>
    <xf numFmtId="1" fontId="8" fillId="0" borderId="2" xfId="1" applyNumberFormat="1" applyFont="1" applyBorder="1" applyAlignment="1">
      <alignment horizontal="center" vertical="center" wrapText="1"/>
    </xf>
    <xf numFmtId="1" fontId="6" fillId="0" borderId="2" xfId="1" applyNumberFormat="1" applyFont="1" applyBorder="1" applyAlignment="1">
      <alignment horizontal="center" vertical="center" wrapText="1"/>
    </xf>
    <xf numFmtId="0" fontId="3" fillId="0" borderId="2" xfId="4" applyFont="1" applyBorder="1" applyAlignment="1">
      <alignment horizontal="justify" vertical="center" wrapText="1"/>
    </xf>
    <xf numFmtId="1" fontId="6" fillId="0" borderId="2" xfId="1" applyNumberFormat="1" applyFont="1" applyBorder="1" applyAlignment="1">
      <alignment horizontal="left" vertical="center" wrapText="1"/>
    </xf>
    <xf numFmtId="1" fontId="6" fillId="0" borderId="2" xfId="1" applyNumberFormat="1" applyFont="1" applyBorder="1" applyAlignment="1">
      <alignment horizontal="center" vertical="center"/>
    </xf>
    <xf numFmtId="0" fontId="3" fillId="0" borderId="2" xfId="4" applyFont="1" applyBorder="1" applyAlignment="1">
      <alignment horizontal="left" vertical="center" wrapText="1"/>
    </xf>
    <xf numFmtId="0" fontId="6" fillId="0" borderId="2" xfId="4" applyFont="1" applyBorder="1" applyAlignment="1">
      <alignment vertical="center" wrapText="1"/>
    </xf>
    <xf numFmtId="0" fontId="12" fillId="0" borderId="2" xfId="4" applyFont="1" applyBorder="1" applyAlignment="1">
      <alignment horizontal="left" vertical="center" wrapText="1"/>
    </xf>
    <xf numFmtId="0" fontId="12" fillId="0" borderId="2" xfId="4" applyFont="1" applyBorder="1" applyAlignment="1">
      <alignment wrapText="1"/>
    </xf>
    <xf numFmtId="168" fontId="6" fillId="0" borderId="2" xfId="2" applyNumberFormat="1" applyFont="1" applyFill="1" applyBorder="1" applyAlignment="1">
      <alignment vertical="center" wrapText="1"/>
    </xf>
    <xf numFmtId="0" fontId="8" fillId="0" borderId="2" xfId="4" applyFont="1" applyBorder="1" applyAlignment="1">
      <alignment horizontal="justify" vertical="center" wrapText="1"/>
    </xf>
    <xf numFmtId="0" fontId="18" fillId="0" borderId="2" xfId="0" applyFont="1" applyBorder="1" applyAlignment="1">
      <alignment vertical="center" wrapText="1"/>
    </xf>
    <xf numFmtId="49" fontId="26" fillId="0" borderId="2" xfId="1" applyNumberFormat="1" applyFont="1" applyBorder="1" applyAlignment="1">
      <alignment horizontal="center" vertical="center"/>
    </xf>
    <xf numFmtId="1" fontId="26" fillId="0" borderId="2" xfId="1" applyNumberFormat="1" applyFont="1" applyBorder="1" applyAlignment="1">
      <alignment vertical="center" wrapText="1"/>
    </xf>
    <xf numFmtId="166" fontId="26" fillId="0" borderId="2" xfId="2" applyNumberFormat="1" applyFont="1" applyFill="1" applyBorder="1" applyAlignment="1">
      <alignment horizontal="center" vertical="center" wrapText="1"/>
    </xf>
    <xf numFmtId="166" fontId="26" fillId="0" borderId="2" xfId="2" applyNumberFormat="1" applyFont="1" applyFill="1" applyBorder="1" applyAlignment="1">
      <alignment horizontal="right" vertical="center"/>
    </xf>
    <xf numFmtId="166" fontId="26" fillId="0" borderId="2" xfId="2" applyNumberFormat="1" applyFont="1" applyFill="1" applyBorder="1" applyAlignment="1">
      <alignment vertical="center"/>
    </xf>
    <xf numFmtId="1" fontId="26" fillId="0" borderId="0" xfId="1" applyNumberFormat="1" applyFont="1" applyAlignment="1">
      <alignment vertical="center"/>
    </xf>
    <xf numFmtId="49" fontId="6" fillId="0" borderId="0" xfId="1" applyNumberFormat="1" applyFont="1" applyAlignment="1">
      <alignment horizontal="center" vertical="center"/>
    </xf>
    <xf numFmtId="1" fontId="6" fillId="0" borderId="0" xfId="1" applyNumberFormat="1" applyFont="1" applyAlignment="1">
      <alignment vertical="center" wrapText="1"/>
    </xf>
    <xf numFmtId="170" fontId="26" fillId="0" borderId="2" xfId="2" applyNumberFormat="1" applyFont="1" applyFill="1" applyBorder="1" applyAlignment="1">
      <alignment horizontal="center" vertical="center" wrapText="1"/>
    </xf>
    <xf numFmtId="166" fontId="3" fillId="0" borderId="2" xfId="3" applyNumberFormat="1" applyFont="1" applyFill="1" applyBorder="1" applyAlignment="1">
      <alignment horizontal="center" vertical="center" wrapText="1"/>
    </xf>
    <xf numFmtId="170" fontId="27" fillId="0" borderId="9" xfId="2" applyNumberFormat="1" applyFont="1" applyFill="1" applyBorder="1" applyAlignment="1">
      <alignment horizontal="center" vertical="center" wrapText="1"/>
    </xf>
    <xf numFmtId="3" fontId="3" fillId="0" borderId="9" xfId="1" applyNumberFormat="1" applyFont="1" applyBorder="1" applyAlignment="1">
      <alignment horizontal="center" vertical="center" wrapText="1"/>
    </xf>
    <xf numFmtId="168" fontId="10" fillId="0" borderId="2" xfId="10" quotePrefix="1" applyNumberFormat="1" applyFont="1" applyFill="1" applyBorder="1" applyAlignment="1">
      <alignment vertical="center" wrapText="1"/>
    </xf>
    <xf numFmtId="49" fontId="3" fillId="0" borderId="9" xfId="1" applyNumberFormat="1" applyFont="1" applyBorder="1" applyAlignment="1">
      <alignment horizontal="center" vertical="center" wrapText="1"/>
    </xf>
    <xf numFmtId="1" fontId="6" fillId="0" borderId="2" xfId="1" applyNumberFormat="1" applyFont="1" applyBorder="1" applyAlignment="1">
      <alignment horizontal="justify" vertical="center" wrapText="1"/>
    </xf>
    <xf numFmtId="49" fontId="10" fillId="0" borderId="2" xfId="1" applyNumberFormat="1" applyFont="1" applyBorder="1" applyAlignment="1">
      <alignment horizontal="center" vertical="center"/>
    </xf>
    <xf numFmtId="0" fontId="10" fillId="0" borderId="2" xfId="4" applyFont="1" applyBorder="1" applyAlignment="1">
      <alignment horizontal="left" vertical="center" wrapText="1"/>
    </xf>
    <xf numFmtId="0" fontId="10" fillId="0" borderId="2" xfId="4" applyFont="1" applyBorder="1" applyAlignment="1">
      <alignment wrapText="1"/>
    </xf>
    <xf numFmtId="3" fontId="10" fillId="0" borderId="2" xfId="1" applyNumberFormat="1" applyFont="1" applyBorder="1" applyAlignment="1">
      <alignment horizontal="center" vertical="center" wrapText="1"/>
    </xf>
    <xf numFmtId="3" fontId="10" fillId="0" borderId="2" xfId="2" applyNumberFormat="1" applyFont="1" applyFill="1" applyBorder="1" applyAlignment="1">
      <alignment horizontal="right" vertical="center"/>
    </xf>
    <xf numFmtId="167" fontId="10" fillId="0" borderId="2" xfId="2" applyNumberFormat="1" applyFont="1" applyFill="1" applyBorder="1" applyAlignment="1">
      <alignment horizontal="center" vertical="center" wrapText="1"/>
    </xf>
    <xf numFmtId="3" fontId="10" fillId="0" borderId="2" xfId="1" quotePrefix="1" applyNumberFormat="1" applyFont="1" applyBorder="1" applyAlignment="1">
      <alignment horizontal="justify" vertical="center" wrapText="1"/>
    </xf>
    <xf numFmtId="1" fontId="10" fillId="0" borderId="2" xfId="1" applyNumberFormat="1" applyFont="1" applyBorder="1" applyAlignment="1">
      <alignment horizontal="justify" vertical="top" wrapText="1"/>
    </xf>
    <xf numFmtId="3" fontId="10" fillId="0" borderId="2" xfId="9" applyNumberFormat="1" applyFont="1" applyBorder="1" applyAlignment="1">
      <alignment horizontal="center" vertical="center" wrapText="1"/>
    </xf>
    <xf numFmtId="1" fontId="10" fillId="0" borderId="2" xfId="1" applyNumberFormat="1" applyFont="1" applyBorder="1" applyAlignment="1">
      <alignment vertical="center" wrapText="1"/>
    </xf>
    <xf numFmtId="166" fontId="10" fillId="0" borderId="2" xfId="2" applyNumberFormat="1" applyFont="1" applyFill="1" applyBorder="1" applyAlignment="1">
      <alignment horizontal="center" vertical="center" wrapText="1"/>
    </xf>
    <xf numFmtId="3" fontId="10" fillId="0" borderId="2" xfId="2" applyNumberFormat="1" applyFont="1" applyFill="1" applyBorder="1" applyAlignment="1">
      <alignment vertical="center"/>
    </xf>
    <xf numFmtId="167" fontId="10" fillId="0" borderId="2" xfId="2" applyNumberFormat="1" applyFont="1" applyFill="1" applyBorder="1" applyAlignment="1">
      <alignment vertical="center"/>
    </xf>
    <xf numFmtId="3" fontId="10" fillId="0" borderId="2" xfId="1" applyNumberFormat="1" applyFont="1" applyBorder="1" applyAlignment="1">
      <alignment horizontal="center" vertical="center"/>
    </xf>
    <xf numFmtId="0" fontId="10" fillId="0" borderId="2" xfId="4" applyFont="1" applyBorder="1" applyAlignment="1">
      <alignment vertical="center" wrapText="1"/>
    </xf>
    <xf numFmtId="166" fontId="10" fillId="0" borderId="2" xfId="2" applyNumberFormat="1" applyFont="1" applyFill="1" applyBorder="1" applyAlignment="1">
      <alignment vertical="center"/>
    </xf>
    <xf numFmtId="168" fontId="10" fillId="0" borderId="2" xfId="2" applyNumberFormat="1" applyFont="1" applyFill="1" applyBorder="1" applyAlignment="1">
      <alignment vertical="center" wrapText="1"/>
    </xf>
    <xf numFmtId="0" fontId="10" fillId="0" borderId="2" xfId="0" applyFont="1" applyBorder="1" applyAlignment="1">
      <alignment vertical="center" wrapText="1"/>
    </xf>
    <xf numFmtId="170" fontId="10" fillId="0" borderId="2" xfId="10" applyNumberFormat="1" applyFont="1" applyFill="1" applyBorder="1" applyAlignment="1">
      <alignment horizontal="center" vertical="center"/>
    </xf>
    <xf numFmtId="166" fontId="10" fillId="0" borderId="2" xfId="2" applyNumberFormat="1" applyFont="1" applyFill="1" applyBorder="1" applyAlignment="1">
      <alignment horizontal="right" vertical="center"/>
    </xf>
    <xf numFmtId="1" fontId="10" fillId="0" borderId="0" xfId="1" applyNumberFormat="1" applyFont="1" applyAlignment="1">
      <alignment vertical="center"/>
    </xf>
    <xf numFmtId="170" fontId="18" fillId="0" borderId="2" xfId="10" applyNumberFormat="1" applyFont="1" applyFill="1" applyBorder="1" applyAlignment="1">
      <alignment horizontal="center" vertical="center"/>
    </xf>
    <xf numFmtId="0" fontId="18" fillId="0" borderId="2" xfId="0" applyFont="1" applyBorder="1" applyAlignment="1">
      <alignment wrapText="1"/>
    </xf>
    <xf numFmtId="0" fontId="10" fillId="0" borderId="2" xfId="9" applyFont="1" applyBorder="1" applyAlignment="1">
      <alignment horizontal="center" vertical="center" wrapText="1"/>
    </xf>
    <xf numFmtId="1" fontId="10" fillId="0" borderId="2" xfId="1" applyNumberFormat="1" applyFont="1" applyBorder="1" applyAlignment="1">
      <alignment horizontal="center" vertical="center"/>
    </xf>
    <xf numFmtId="170" fontId="26" fillId="0" borderId="5" xfId="2" applyNumberFormat="1" applyFont="1" applyFill="1" applyBorder="1" applyAlignment="1">
      <alignment horizontal="center" vertical="center" wrapText="1"/>
    </xf>
    <xf numFmtId="170" fontId="26" fillId="0" borderId="6" xfId="2" applyNumberFormat="1" applyFont="1" applyFill="1" applyBorder="1" applyAlignment="1">
      <alignment horizontal="center" vertical="center" wrapText="1"/>
    </xf>
    <xf numFmtId="170" fontId="26" fillId="0" borderId="7" xfId="2" applyNumberFormat="1" applyFont="1" applyFill="1" applyBorder="1" applyAlignment="1">
      <alignment horizontal="center" vertical="center" wrapText="1"/>
    </xf>
    <xf numFmtId="170" fontId="26" fillId="0" borderId="2" xfId="2" applyNumberFormat="1" applyFont="1" applyFill="1" applyBorder="1" applyAlignment="1">
      <alignment horizontal="center" vertical="center" wrapText="1"/>
    </xf>
    <xf numFmtId="170" fontId="27" fillId="0" borderId="8" xfId="2" applyNumberFormat="1" applyFont="1" applyFill="1" applyBorder="1" applyAlignment="1">
      <alignment horizontal="center" vertical="center" wrapText="1"/>
    </xf>
    <xf numFmtId="170" fontId="27" fillId="0" borderId="9" xfId="2" applyNumberFormat="1" applyFont="1" applyFill="1" applyBorder="1" applyAlignment="1">
      <alignment horizontal="center" vertical="center" wrapText="1"/>
    </xf>
    <xf numFmtId="166" fontId="3" fillId="0" borderId="2" xfId="3" applyNumberFormat="1" applyFont="1" applyFill="1" applyBorder="1" applyAlignment="1">
      <alignment horizontal="center" vertical="center" wrapText="1"/>
    </xf>
    <xf numFmtId="3" fontId="3" fillId="0" borderId="8" xfId="1" applyNumberFormat="1" applyFont="1" applyBorder="1" applyAlignment="1">
      <alignment horizontal="center" vertical="center" wrapText="1"/>
    </xf>
    <xf numFmtId="3" fontId="3" fillId="0" borderId="10" xfId="1" applyNumberFormat="1" applyFont="1" applyBorder="1" applyAlignment="1">
      <alignment horizontal="center" vertical="center" wrapText="1"/>
    </xf>
    <xf numFmtId="3" fontId="3" fillId="0" borderId="9" xfId="1" applyNumberFormat="1" applyFont="1" applyBorder="1" applyAlignment="1">
      <alignment horizontal="center" vertical="center" wrapText="1"/>
    </xf>
    <xf numFmtId="3" fontId="3" fillId="0" borderId="2" xfId="1" applyNumberFormat="1" applyFont="1" applyBorder="1" applyAlignment="1">
      <alignment horizontal="center" vertical="center" wrapText="1"/>
    </xf>
    <xf numFmtId="1" fontId="3" fillId="0" borderId="0" xfId="1" applyNumberFormat="1" applyFont="1" applyAlignment="1">
      <alignment horizontal="center" vertical="center"/>
    </xf>
    <xf numFmtId="1" fontId="4" fillId="0" borderId="0" xfId="1" applyNumberFormat="1" applyFont="1" applyAlignment="1">
      <alignment horizontal="center" vertical="center"/>
    </xf>
    <xf numFmtId="1" fontId="4" fillId="0" borderId="0" xfId="1" applyNumberFormat="1" applyFont="1" applyAlignment="1">
      <alignment horizontal="right" vertical="center"/>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9" xfId="1" applyNumberFormat="1" applyFont="1" applyBorder="1" applyAlignment="1">
      <alignment horizontal="center" vertical="center" wrapText="1"/>
    </xf>
    <xf numFmtId="166" fontId="3" fillId="0" borderId="5" xfId="3" applyNumberFormat="1" applyFont="1" applyFill="1" applyBorder="1" applyAlignment="1">
      <alignment horizontal="center" vertical="center" wrapText="1"/>
    </xf>
    <xf numFmtId="166" fontId="3" fillId="0" borderId="6" xfId="3" applyNumberFormat="1" applyFont="1" applyFill="1" applyBorder="1" applyAlignment="1">
      <alignment horizontal="center" vertical="center" wrapText="1"/>
    </xf>
    <xf numFmtId="166" fontId="3" fillId="0" borderId="7" xfId="3" applyNumberFormat="1" applyFont="1" applyFill="1" applyBorder="1" applyAlignment="1">
      <alignment horizontal="center" vertical="center" wrapText="1"/>
    </xf>
  </cellXfs>
  <cellStyles count="76">
    <cellStyle name="0,0_x000d__x000a_NA_x000d__x000a_" xfId="11"/>
    <cellStyle name="0,0_x000d__x000a_NA_x000d__x000a_ 2" xfId="5"/>
    <cellStyle name="0,0_x000d__x000a_NA_x000d__x000a_ 2 2" xfId="12"/>
    <cellStyle name="0,0_x000d__x000a_NA_x000d__x000a_ 2 3" xfId="13"/>
    <cellStyle name="0,0_x000d__x000a_NA_x000d__x000a_ 3" xfId="14"/>
    <cellStyle name="0,0_x000d__x000a_NA_x000d__x000a__BAN GIAO THEO BIEN BAN TAI CHINH - Copy (1)" xfId="15"/>
    <cellStyle name="Comma [0] 2" xfId="16"/>
    <cellStyle name="Comma [0] 2 2" xfId="17"/>
    <cellStyle name="Comma [0] 3" xfId="18"/>
    <cellStyle name="Comma [0] 4" xfId="19"/>
    <cellStyle name="Comma [0] 5" xfId="20"/>
    <cellStyle name="Comma [0] 6" xfId="21"/>
    <cellStyle name="Comma [0] 7" xfId="22"/>
    <cellStyle name="Comma 10" xfId="23"/>
    <cellStyle name="Comma 10 10" xfId="3"/>
    <cellStyle name="Comma 10 10 2" xfId="24"/>
    <cellStyle name="Comma 10 2" xfId="25"/>
    <cellStyle name="Comma 10 2 2" xfId="26"/>
    <cellStyle name="Comma 10 2 2 2" xfId="27"/>
    <cellStyle name="Comma 11" xfId="28"/>
    <cellStyle name="Comma 12" xfId="29"/>
    <cellStyle name="Comma 13" xfId="30"/>
    <cellStyle name="Comma 14" xfId="31"/>
    <cellStyle name="Comma 16 3" xfId="8"/>
    <cellStyle name="Comma 2" xfId="10"/>
    <cellStyle name="Comma 2 10" xfId="7"/>
    <cellStyle name="Comma 2 2" xfId="32"/>
    <cellStyle name="Comma 2 2 2" xfId="33"/>
    <cellStyle name="Comma 2 2 2 10" xfId="34"/>
    <cellStyle name="Comma 2 2 2 2 6" xfId="2"/>
    <cellStyle name="Comma 2 2_05-12  KH trung han 2016-2020 - Liem Thinh edited" xfId="6"/>
    <cellStyle name="Comma 2 3" xfId="35"/>
    <cellStyle name="Comma 2 4" xfId="36"/>
    <cellStyle name="Comma 2 6" xfId="37"/>
    <cellStyle name="Comma 2 7" xfId="38"/>
    <cellStyle name="Comma 2_bao cao cua UBND tinh quy II - 2011" xfId="39"/>
    <cellStyle name="Comma 21" xfId="40"/>
    <cellStyle name="Comma 3" xfId="41"/>
    <cellStyle name="Comma 3 2" xfId="42"/>
    <cellStyle name="Comma 3 3" xfId="43"/>
    <cellStyle name="Comma 3 3 2" xfId="44"/>
    <cellStyle name="Comma 4" xfId="45"/>
    <cellStyle name="Comma 4 2" xfId="46"/>
    <cellStyle name="Comma 4 3" xfId="47"/>
    <cellStyle name="Comma 5" xfId="48"/>
    <cellStyle name="Comma 6" xfId="49"/>
    <cellStyle name="Comma 6 2" xfId="50"/>
    <cellStyle name="Comma 67" xfId="51"/>
    <cellStyle name="Comma 7" xfId="52"/>
    <cellStyle name="Comma 8" xfId="53"/>
    <cellStyle name="Comma 8 2" xfId="54"/>
    <cellStyle name="Comma 80" xfId="55"/>
    <cellStyle name="Comma 9" xfId="56"/>
    <cellStyle name="Heading 1 2" xfId="57"/>
    <cellStyle name="Normal" xfId="0" builtinId="0"/>
    <cellStyle name="Normal 11" xfId="58"/>
    <cellStyle name="Normal 12" xfId="59"/>
    <cellStyle name="Normal 2" xfId="60"/>
    <cellStyle name="Normal 2 10" xfId="61"/>
    <cellStyle name="Normal 2 10 2" xfId="62"/>
    <cellStyle name="Normal 2 2" xfId="9"/>
    <cellStyle name="Normal 2 3" xfId="63"/>
    <cellStyle name="Normal 2 4" xfId="64"/>
    <cellStyle name="Normal 2 6" xfId="65"/>
    <cellStyle name="Normal 2_KHACH HANG TRUNG ĐẤU GIÁ HOẰNG LƯU" xfId="66"/>
    <cellStyle name="Normal 3" xfId="4"/>
    <cellStyle name="Normal 3 2" xfId="67"/>
    <cellStyle name="Normal 4" xfId="68"/>
    <cellStyle name="Normal 4 2" xfId="69"/>
    <cellStyle name="Normal 5" xfId="70"/>
    <cellStyle name="Normal 6" xfId="71"/>
    <cellStyle name="Normal 7" xfId="72"/>
    <cellStyle name="Normal 8" xfId="73"/>
    <cellStyle name="Normal 9" xfId="74"/>
    <cellStyle name="Normal_Bieu mau (CV ) 2" xfId="1"/>
    <cellStyle name="Note 2" xfI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
  <sheetViews>
    <sheetView zoomScale="70" zoomScaleNormal="70" workbookViewId="0">
      <selection activeCell="J11" sqref="J11"/>
    </sheetView>
  </sheetViews>
  <sheetFormatPr defaultColWidth="11.6328125" defaultRowHeight="15.6" x14ac:dyDescent="0.3"/>
  <cols>
    <col min="1" max="1" width="6.1796875" style="86" customWidth="1"/>
    <col min="2" max="2" width="51.08984375" style="87" customWidth="1"/>
    <col min="3" max="3" width="11.08984375" style="87" hidden="1" customWidth="1"/>
    <col min="4" max="4" width="12.54296875" style="28" hidden="1" customWidth="1"/>
    <col min="5" max="5" width="9" style="29" customWidth="1"/>
    <col min="6" max="6" width="8.1796875" style="29" customWidth="1"/>
    <col min="7" max="7" width="9.6328125" style="29" customWidth="1"/>
    <col min="8" max="8" width="11.08984375" style="30" customWidth="1"/>
    <col min="9" max="9" width="7.54296875" style="30" customWidth="1"/>
    <col min="10" max="10" width="7.08984375" style="30" customWidth="1"/>
    <col min="11" max="11" width="9.36328125" style="30" customWidth="1"/>
    <col min="12" max="12" width="8" style="30" customWidth="1"/>
    <col min="13" max="13" width="8.1796875" style="35" customWidth="1"/>
    <col min="14" max="14" width="6.1796875" style="30" customWidth="1"/>
    <col min="15" max="15" width="6.453125" style="30" customWidth="1"/>
    <col min="16" max="16" width="9.36328125" style="30" customWidth="1"/>
    <col min="17" max="17" width="8.453125" style="30" customWidth="1"/>
    <col min="18" max="18" width="7.08984375" style="30" customWidth="1"/>
    <col min="19" max="19" width="6.81640625" style="35" customWidth="1"/>
    <col min="20" max="20" width="7.1796875" style="30" customWidth="1"/>
    <col min="21" max="21" width="6.90625" style="30" customWidth="1"/>
    <col min="22" max="23" width="9.36328125" style="30" customWidth="1"/>
    <col min="24" max="24" width="7.36328125" style="30" customWidth="1"/>
    <col min="25" max="25" width="8.1796875" style="35" hidden="1" customWidth="1"/>
    <col min="26" max="26" width="6.54296875" style="30" hidden="1" customWidth="1"/>
    <col min="27" max="27" width="6.453125" style="30" hidden="1" customWidth="1"/>
    <col min="28" max="29" width="9.36328125" style="30" hidden="1" customWidth="1"/>
    <col min="30" max="30" width="7.54296875" style="30" hidden="1" customWidth="1"/>
    <col min="31" max="31" width="8" style="30" customWidth="1"/>
    <col min="32" max="32" width="13.81640625" style="28" hidden="1" customWidth="1"/>
    <col min="33" max="170" width="11.6328125" style="3"/>
    <col min="171" max="171" width="6.6328125" style="3" customWidth="1"/>
    <col min="172" max="172" width="65.1796875" style="3" customWidth="1"/>
    <col min="173" max="16384" width="11.6328125" style="3"/>
  </cols>
  <sheetData>
    <row r="1" spans="1:32" s="37" customFormat="1" ht="27" customHeight="1" x14ac:dyDescent="0.3">
      <c r="A1" s="131" t="s">
        <v>263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36"/>
    </row>
    <row r="2" spans="1:32" s="37" customFormat="1" ht="30.75" customHeight="1" x14ac:dyDescent="0.3">
      <c r="A2" s="132" t="s">
        <v>265</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row>
    <row r="3" spans="1:32" ht="16.2" customHeight="1" x14ac:dyDescent="0.3">
      <c r="A3" s="133"/>
      <c r="B3" s="133"/>
      <c r="C3" s="133"/>
      <c r="D3" s="133"/>
      <c r="E3" s="133"/>
      <c r="F3" s="133"/>
      <c r="G3" s="38"/>
      <c r="H3" s="1"/>
      <c r="I3" s="1"/>
      <c r="J3" s="1"/>
      <c r="K3" s="1"/>
      <c r="L3" s="1"/>
      <c r="M3" s="33"/>
      <c r="N3" s="1"/>
      <c r="O3" s="1"/>
      <c r="P3" s="1"/>
      <c r="Q3" s="1"/>
      <c r="R3" s="1"/>
      <c r="S3" s="33"/>
      <c r="T3" s="1"/>
      <c r="U3" s="1"/>
      <c r="V3" s="1" t="s">
        <v>262</v>
      </c>
      <c r="W3" s="1"/>
      <c r="X3" s="1"/>
      <c r="Y3" s="33"/>
      <c r="Z3" s="1"/>
      <c r="AA3" s="1"/>
      <c r="AB3" s="1"/>
      <c r="AC3" s="1"/>
      <c r="AD3" s="1"/>
      <c r="AE3" s="2"/>
      <c r="AF3" s="1"/>
    </row>
    <row r="4" spans="1:32" s="39" customFormat="1" ht="15.75" customHeight="1" x14ac:dyDescent="0.3">
      <c r="A4" s="134" t="s">
        <v>0</v>
      </c>
      <c r="B4" s="127" t="s">
        <v>1</v>
      </c>
      <c r="C4" s="130" t="s">
        <v>2</v>
      </c>
      <c r="D4" s="130" t="s">
        <v>3</v>
      </c>
      <c r="E4" s="126" t="s">
        <v>4</v>
      </c>
      <c r="F4" s="126"/>
      <c r="G4" s="126" t="s">
        <v>5</v>
      </c>
      <c r="H4" s="126" t="s">
        <v>250</v>
      </c>
      <c r="I4" s="126"/>
      <c r="J4" s="126"/>
      <c r="K4" s="126"/>
      <c r="L4" s="126"/>
      <c r="M4" s="120" t="s">
        <v>249</v>
      </c>
      <c r="N4" s="121"/>
      <c r="O4" s="121"/>
      <c r="P4" s="121"/>
      <c r="Q4" s="121"/>
      <c r="R4" s="122"/>
      <c r="S4" s="120" t="s">
        <v>251</v>
      </c>
      <c r="T4" s="121"/>
      <c r="U4" s="121"/>
      <c r="V4" s="121"/>
      <c r="W4" s="121"/>
      <c r="X4" s="122"/>
      <c r="Y4" s="120" t="s">
        <v>252</v>
      </c>
      <c r="Z4" s="121"/>
      <c r="AA4" s="121"/>
      <c r="AB4" s="121"/>
      <c r="AC4" s="121"/>
      <c r="AD4" s="122"/>
      <c r="AE4" s="127" t="s">
        <v>6</v>
      </c>
      <c r="AF4" s="130" t="s">
        <v>255</v>
      </c>
    </row>
    <row r="5" spans="1:32" s="39" customFormat="1" ht="15.75" customHeight="1" x14ac:dyDescent="0.3">
      <c r="A5" s="135"/>
      <c r="B5" s="128"/>
      <c r="C5" s="130"/>
      <c r="D5" s="130"/>
      <c r="E5" s="126" t="s">
        <v>7</v>
      </c>
      <c r="F5" s="126" t="s">
        <v>8</v>
      </c>
      <c r="G5" s="126"/>
      <c r="H5" s="126" t="s">
        <v>7</v>
      </c>
      <c r="I5" s="137" t="s">
        <v>9</v>
      </c>
      <c r="J5" s="138"/>
      <c r="K5" s="138"/>
      <c r="L5" s="139"/>
      <c r="M5" s="123" t="s">
        <v>245</v>
      </c>
      <c r="N5" s="120" t="s">
        <v>9</v>
      </c>
      <c r="O5" s="121"/>
      <c r="P5" s="121"/>
      <c r="Q5" s="121"/>
      <c r="R5" s="122"/>
      <c r="S5" s="123" t="s">
        <v>245</v>
      </c>
      <c r="T5" s="120" t="s">
        <v>9</v>
      </c>
      <c r="U5" s="121"/>
      <c r="V5" s="121"/>
      <c r="W5" s="121"/>
      <c r="X5" s="122"/>
      <c r="Y5" s="123" t="s">
        <v>245</v>
      </c>
      <c r="Z5" s="120" t="s">
        <v>9</v>
      </c>
      <c r="AA5" s="121"/>
      <c r="AB5" s="121"/>
      <c r="AC5" s="121"/>
      <c r="AD5" s="122"/>
      <c r="AE5" s="128"/>
      <c r="AF5" s="130"/>
    </row>
    <row r="6" spans="1:32" s="39" customFormat="1" ht="15.75" customHeight="1" x14ac:dyDescent="0.3">
      <c r="A6" s="135"/>
      <c r="B6" s="128"/>
      <c r="C6" s="130"/>
      <c r="D6" s="130"/>
      <c r="E6" s="126"/>
      <c r="F6" s="126"/>
      <c r="G6" s="126"/>
      <c r="H6" s="126"/>
      <c r="I6" s="123" t="s">
        <v>254</v>
      </c>
      <c r="J6" s="123" t="s">
        <v>246</v>
      </c>
      <c r="K6" s="126" t="s">
        <v>253</v>
      </c>
      <c r="L6" s="126" t="s">
        <v>10</v>
      </c>
      <c r="M6" s="123"/>
      <c r="N6" s="123" t="s">
        <v>254</v>
      </c>
      <c r="O6" s="123" t="s">
        <v>246</v>
      </c>
      <c r="P6" s="124" t="s">
        <v>258</v>
      </c>
      <c r="Q6" s="123" t="s">
        <v>248</v>
      </c>
      <c r="R6" s="126" t="s">
        <v>10</v>
      </c>
      <c r="S6" s="123"/>
      <c r="T6" s="123" t="s">
        <v>254</v>
      </c>
      <c r="U6" s="123" t="s">
        <v>246</v>
      </c>
      <c r="V6" s="124" t="s">
        <v>259</v>
      </c>
      <c r="W6" s="123" t="s">
        <v>248</v>
      </c>
      <c r="X6" s="126" t="s">
        <v>10</v>
      </c>
      <c r="Y6" s="123"/>
      <c r="Z6" s="123" t="s">
        <v>254</v>
      </c>
      <c r="AA6" s="123" t="s">
        <v>246</v>
      </c>
      <c r="AB6" s="124" t="s">
        <v>247</v>
      </c>
      <c r="AC6" s="123" t="s">
        <v>248</v>
      </c>
      <c r="AD6" s="126" t="s">
        <v>10</v>
      </c>
      <c r="AE6" s="128"/>
      <c r="AF6" s="130"/>
    </row>
    <row r="7" spans="1:32" s="39" customFormat="1" ht="63.75" customHeight="1" x14ac:dyDescent="0.3">
      <c r="A7" s="136"/>
      <c r="B7" s="129"/>
      <c r="C7" s="40"/>
      <c r="D7" s="130"/>
      <c r="E7" s="126"/>
      <c r="F7" s="126"/>
      <c r="G7" s="126"/>
      <c r="H7" s="126"/>
      <c r="I7" s="123"/>
      <c r="J7" s="123"/>
      <c r="K7" s="126"/>
      <c r="L7" s="126"/>
      <c r="M7" s="123"/>
      <c r="N7" s="123"/>
      <c r="O7" s="123"/>
      <c r="P7" s="125"/>
      <c r="Q7" s="123"/>
      <c r="R7" s="126"/>
      <c r="S7" s="123"/>
      <c r="T7" s="123"/>
      <c r="U7" s="123"/>
      <c r="V7" s="125"/>
      <c r="W7" s="123"/>
      <c r="X7" s="126"/>
      <c r="Y7" s="123"/>
      <c r="Z7" s="123"/>
      <c r="AA7" s="123"/>
      <c r="AB7" s="125"/>
      <c r="AC7" s="123"/>
      <c r="AD7" s="126"/>
      <c r="AE7" s="129"/>
      <c r="AF7" s="40"/>
    </row>
    <row r="8" spans="1:32" s="39" customFormat="1" ht="12.75" customHeight="1" x14ac:dyDescent="0.3">
      <c r="A8" s="93"/>
      <c r="B8" s="91"/>
      <c r="C8" s="40"/>
      <c r="D8" s="40"/>
      <c r="E8" s="89"/>
      <c r="F8" s="89"/>
      <c r="G8" s="89"/>
      <c r="H8" s="89"/>
      <c r="I8" s="88"/>
      <c r="J8" s="88"/>
      <c r="K8" s="89"/>
      <c r="L8" s="89"/>
      <c r="M8" s="88"/>
      <c r="N8" s="88"/>
      <c r="O8" s="88"/>
      <c r="P8" s="90"/>
      <c r="Q8" s="88"/>
      <c r="R8" s="89"/>
      <c r="S8" s="88"/>
      <c r="T8" s="88"/>
      <c r="U8" s="88"/>
      <c r="V8" s="90"/>
      <c r="W8" s="88"/>
      <c r="X8" s="89"/>
      <c r="Y8" s="88"/>
      <c r="Z8" s="88"/>
      <c r="AA8" s="88"/>
      <c r="AB8" s="90"/>
      <c r="AC8" s="88"/>
      <c r="AD8" s="89"/>
      <c r="AE8" s="91"/>
      <c r="AF8" s="40"/>
    </row>
    <row r="9" spans="1:32" s="43" customFormat="1" ht="27" customHeight="1" x14ac:dyDescent="0.3">
      <c r="A9" s="41"/>
      <c r="B9" s="42" t="s">
        <v>24</v>
      </c>
      <c r="C9" s="42"/>
      <c r="D9" s="4"/>
      <c r="E9" s="5">
        <f t="shared" ref="E9:AD9" si="0">E10+E16+E28+E42</f>
        <v>181010.28899999999</v>
      </c>
      <c r="F9" s="5">
        <f t="shared" si="0"/>
        <v>171009.90900000001</v>
      </c>
      <c r="G9" s="5">
        <f t="shared" si="0"/>
        <v>42158.167999999998</v>
      </c>
      <c r="H9" s="5">
        <f t="shared" si="0"/>
        <v>97501.800000000017</v>
      </c>
      <c r="I9" s="5">
        <f t="shared" si="0"/>
        <v>0</v>
      </c>
      <c r="J9" s="5">
        <f t="shared" si="0"/>
        <v>2000</v>
      </c>
      <c r="K9" s="5">
        <f t="shared" si="0"/>
        <v>94601.800000000017</v>
      </c>
      <c r="L9" s="5">
        <f t="shared" si="0"/>
        <v>900</v>
      </c>
      <c r="M9" s="5">
        <f t="shared" si="0"/>
        <v>71272.392999999996</v>
      </c>
      <c r="N9" s="5">
        <f t="shared" si="0"/>
        <v>0</v>
      </c>
      <c r="O9" s="5">
        <f t="shared" si="0"/>
        <v>0</v>
      </c>
      <c r="P9" s="5">
        <f t="shared" si="0"/>
        <v>19531.393</v>
      </c>
      <c r="Q9" s="5">
        <f t="shared" si="0"/>
        <v>51741</v>
      </c>
      <c r="R9" s="5">
        <f t="shared" si="0"/>
        <v>0</v>
      </c>
      <c r="S9" s="5">
        <f t="shared" si="0"/>
        <v>54640.99</v>
      </c>
      <c r="T9" s="5">
        <f t="shared" si="0"/>
        <v>0</v>
      </c>
      <c r="U9" s="5">
        <f t="shared" si="0"/>
        <v>2000</v>
      </c>
      <c r="V9" s="5">
        <f t="shared" si="0"/>
        <v>0</v>
      </c>
      <c r="W9" s="5">
        <f t="shared" si="0"/>
        <v>51740.99</v>
      </c>
      <c r="X9" s="5">
        <f t="shared" si="0"/>
        <v>900</v>
      </c>
      <c r="Y9" s="5">
        <f t="shared" si="0"/>
        <v>114133.20300000001</v>
      </c>
      <c r="Z9" s="5">
        <f t="shared" si="0"/>
        <v>0</v>
      </c>
      <c r="AA9" s="5">
        <f t="shared" si="0"/>
        <v>0</v>
      </c>
      <c r="AB9" s="5">
        <f t="shared" si="0"/>
        <v>19531.393</v>
      </c>
      <c r="AC9" s="5">
        <f t="shared" si="0"/>
        <v>94601.81</v>
      </c>
      <c r="AD9" s="5">
        <f t="shared" si="0"/>
        <v>0</v>
      </c>
      <c r="AE9" s="6"/>
      <c r="AF9" s="7"/>
    </row>
    <row r="10" spans="1:32" s="46" customFormat="1" ht="23.25" customHeight="1" x14ac:dyDescent="0.3">
      <c r="A10" s="44" t="s">
        <v>25</v>
      </c>
      <c r="B10" s="45" t="s">
        <v>26</v>
      </c>
      <c r="C10" s="45"/>
      <c r="D10" s="8"/>
      <c r="E10" s="9">
        <f t="shared" ref="E10:AD10" si="1">SUM(E11:E15)</f>
        <v>15059</v>
      </c>
      <c r="F10" s="9">
        <f t="shared" si="1"/>
        <v>5058.62</v>
      </c>
      <c r="G10" s="9">
        <f t="shared" si="1"/>
        <v>1955.6000000000004</v>
      </c>
      <c r="H10" s="9">
        <f t="shared" si="1"/>
        <v>1955.6000000000004</v>
      </c>
      <c r="I10" s="9">
        <f t="shared" si="1"/>
        <v>0</v>
      </c>
      <c r="J10" s="9">
        <f t="shared" si="1"/>
        <v>0</v>
      </c>
      <c r="K10" s="9">
        <f t="shared" si="1"/>
        <v>1955.6000000000004</v>
      </c>
      <c r="L10" s="9">
        <f t="shared" si="1"/>
        <v>0</v>
      </c>
      <c r="M10" s="9">
        <f t="shared" si="1"/>
        <v>381.39300000000003</v>
      </c>
      <c r="N10" s="9">
        <f t="shared" si="1"/>
        <v>0</v>
      </c>
      <c r="O10" s="9">
        <f t="shared" si="1"/>
        <v>0</v>
      </c>
      <c r="P10" s="9">
        <f t="shared" si="1"/>
        <v>381.39300000000003</v>
      </c>
      <c r="Q10" s="9">
        <f t="shared" si="1"/>
        <v>0</v>
      </c>
      <c r="R10" s="9">
        <f t="shared" si="1"/>
        <v>0</v>
      </c>
      <c r="S10" s="9">
        <f t="shared" si="1"/>
        <v>1955.6000000000004</v>
      </c>
      <c r="T10" s="9">
        <f t="shared" si="1"/>
        <v>0</v>
      </c>
      <c r="U10" s="9">
        <f t="shared" si="1"/>
        <v>0</v>
      </c>
      <c r="V10" s="9">
        <f t="shared" si="1"/>
        <v>0</v>
      </c>
      <c r="W10" s="9">
        <f t="shared" si="1"/>
        <v>1955.6000000000004</v>
      </c>
      <c r="X10" s="9">
        <f t="shared" si="1"/>
        <v>0</v>
      </c>
      <c r="Y10" s="9">
        <f t="shared" si="1"/>
        <v>381.39300000000003</v>
      </c>
      <c r="Z10" s="9">
        <f t="shared" si="1"/>
        <v>0</v>
      </c>
      <c r="AA10" s="9">
        <f t="shared" si="1"/>
        <v>0</v>
      </c>
      <c r="AB10" s="9">
        <f t="shared" si="1"/>
        <v>381.39300000000003</v>
      </c>
      <c r="AC10" s="9">
        <f t="shared" si="1"/>
        <v>0</v>
      </c>
      <c r="AD10" s="9">
        <f t="shared" si="1"/>
        <v>0</v>
      </c>
      <c r="AE10" s="10">
        <f>SUM(AE11:AE27)</f>
        <v>0</v>
      </c>
      <c r="AF10" s="11"/>
    </row>
    <row r="11" spans="1:32" s="36" customFormat="1" ht="39" customHeight="1" x14ac:dyDescent="0.3">
      <c r="A11" s="49" t="s">
        <v>11</v>
      </c>
      <c r="B11" s="62" t="s">
        <v>137</v>
      </c>
      <c r="C11" s="51" t="s">
        <v>87</v>
      </c>
      <c r="D11" s="56"/>
      <c r="E11" s="14"/>
      <c r="F11" s="14"/>
      <c r="G11" s="14">
        <f>H11</f>
        <v>25.3</v>
      </c>
      <c r="H11" s="14">
        <v>25.3</v>
      </c>
      <c r="I11" s="14"/>
      <c r="J11" s="14"/>
      <c r="K11" s="14">
        <v>25.3</v>
      </c>
      <c r="L11" s="14">
        <v>0</v>
      </c>
      <c r="M11" s="34">
        <f t="shared" ref="M11:M12" si="2">SUM(N11:R11)</f>
        <v>25.331900000000001</v>
      </c>
      <c r="N11" s="14"/>
      <c r="O11" s="14"/>
      <c r="P11" s="14">
        <v>25.331900000000001</v>
      </c>
      <c r="Q11" s="14"/>
      <c r="R11" s="14"/>
      <c r="S11" s="34">
        <f t="shared" ref="S11:S12" si="3">SUM(T11:X11)</f>
        <v>25.3</v>
      </c>
      <c r="T11" s="14"/>
      <c r="U11" s="14"/>
      <c r="V11" s="14"/>
      <c r="W11" s="14">
        <f>K11</f>
        <v>25.3</v>
      </c>
      <c r="X11" s="14"/>
      <c r="Y11" s="34">
        <f t="shared" ref="Y11:Y12" si="4">SUM(Z11:AD11)</f>
        <v>25.331900000000001</v>
      </c>
      <c r="Z11" s="14">
        <f t="shared" ref="Z11:AA15" si="5">I11+N11-T11</f>
        <v>0</v>
      </c>
      <c r="AA11" s="14">
        <f t="shared" si="5"/>
        <v>0</v>
      </c>
      <c r="AB11" s="14">
        <f t="shared" ref="AB11:AB12" si="6">P11-V11</f>
        <v>25.331900000000001</v>
      </c>
      <c r="AC11" s="14">
        <f t="shared" ref="AC11:AD15" si="7">K11+Q11-W11</f>
        <v>0</v>
      </c>
      <c r="AD11" s="14">
        <f t="shared" si="7"/>
        <v>0</v>
      </c>
      <c r="AE11" s="17"/>
      <c r="AF11" s="16"/>
    </row>
    <row r="12" spans="1:32" s="36" customFormat="1" ht="44.25" customHeight="1" x14ac:dyDescent="0.3">
      <c r="A12" s="49" t="s">
        <v>12</v>
      </c>
      <c r="B12" s="62" t="s">
        <v>139</v>
      </c>
      <c r="C12" s="51" t="s">
        <v>87</v>
      </c>
      <c r="D12" s="56"/>
      <c r="E12" s="14"/>
      <c r="F12" s="14"/>
      <c r="G12" s="14">
        <f>H12</f>
        <v>28.6</v>
      </c>
      <c r="H12" s="14">
        <v>28.6</v>
      </c>
      <c r="I12" s="14"/>
      <c r="J12" s="14"/>
      <c r="K12" s="14">
        <v>28.6</v>
      </c>
      <c r="L12" s="14">
        <v>0</v>
      </c>
      <c r="M12" s="34">
        <f t="shared" si="2"/>
        <v>28.568100000000001</v>
      </c>
      <c r="N12" s="14"/>
      <c r="O12" s="14"/>
      <c r="P12" s="14">
        <v>28.568100000000001</v>
      </c>
      <c r="Q12" s="14"/>
      <c r="R12" s="14"/>
      <c r="S12" s="34">
        <f t="shared" si="3"/>
        <v>28.6</v>
      </c>
      <c r="T12" s="14"/>
      <c r="U12" s="14"/>
      <c r="V12" s="14"/>
      <c r="W12" s="14">
        <f>K12</f>
        <v>28.6</v>
      </c>
      <c r="X12" s="14"/>
      <c r="Y12" s="34">
        <f t="shared" si="4"/>
        <v>28.568100000000001</v>
      </c>
      <c r="Z12" s="14">
        <f t="shared" si="5"/>
        <v>0</v>
      </c>
      <c r="AA12" s="14">
        <f t="shared" si="5"/>
        <v>0</v>
      </c>
      <c r="AB12" s="14">
        <f t="shared" si="6"/>
        <v>28.568100000000001</v>
      </c>
      <c r="AC12" s="14">
        <f t="shared" si="7"/>
        <v>0</v>
      </c>
      <c r="AD12" s="14">
        <f t="shared" si="7"/>
        <v>0</v>
      </c>
      <c r="AE12" s="17"/>
      <c r="AF12" s="16"/>
    </row>
    <row r="13" spans="1:32" s="36" customFormat="1" ht="46.5" customHeight="1" x14ac:dyDescent="0.3">
      <c r="A13" s="49" t="s">
        <v>13</v>
      </c>
      <c r="B13" s="57" t="s">
        <v>199</v>
      </c>
      <c r="C13" s="60" t="s">
        <v>197</v>
      </c>
      <c r="D13" s="12"/>
      <c r="E13" s="14">
        <v>14499</v>
      </c>
      <c r="F13" s="14">
        <v>4498.62</v>
      </c>
      <c r="G13" s="14">
        <f>4025.9-2524.2</f>
        <v>1501.7000000000003</v>
      </c>
      <c r="H13" s="14">
        <f>G13</f>
        <v>1501.7000000000003</v>
      </c>
      <c r="I13" s="14"/>
      <c r="J13" s="14"/>
      <c r="K13" s="14">
        <f>G13</f>
        <v>1501.7000000000003</v>
      </c>
      <c r="L13" s="14">
        <v>0</v>
      </c>
      <c r="M13" s="34">
        <f>SUM(N13:R13)</f>
        <v>95.295000000000002</v>
      </c>
      <c r="N13" s="14"/>
      <c r="O13" s="14"/>
      <c r="P13" s="14">
        <v>95.295000000000002</v>
      </c>
      <c r="Q13" s="14"/>
      <c r="R13" s="14"/>
      <c r="S13" s="34">
        <f>SUM(T13:X13)</f>
        <v>1501.7000000000003</v>
      </c>
      <c r="T13" s="14"/>
      <c r="U13" s="14"/>
      <c r="V13" s="14"/>
      <c r="W13" s="14">
        <f>K13</f>
        <v>1501.7000000000003</v>
      </c>
      <c r="X13" s="14"/>
      <c r="Y13" s="34">
        <f>SUM(Z13:AD13)</f>
        <v>95.295000000000002</v>
      </c>
      <c r="Z13" s="14">
        <f t="shared" si="5"/>
        <v>0</v>
      </c>
      <c r="AA13" s="14">
        <f t="shared" si="5"/>
        <v>0</v>
      </c>
      <c r="AB13" s="14">
        <f>P13-V13</f>
        <v>95.295000000000002</v>
      </c>
      <c r="AC13" s="14">
        <f t="shared" si="7"/>
        <v>0</v>
      </c>
      <c r="AD13" s="14">
        <f t="shared" si="7"/>
        <v>0</v>
      </c>
      <c r="AE13" s="17"/>
      <c r="AF13" s="16" t="s">
        <v>34</v>
      </c>
    </row>
    <row r="14" spans="1:32" s="24" customFormat="1" ht="60.75" customHeight="1" x14ac:dyDescent="0.3">
      <c r="A14" s="49" t="s">
        <v>14</v>
      </c>
      <c r="B14" s="65" t="s">
        <v>219</v>
      </c>
      <c r="C14" s="60" t="s">
        <v>211</v>
      </c>
      <c r="D14" s="12"/>
      <c r="E14" s="22">
        <f>F14</f>
        <v>290</v>
      </c>
      <c r="F14" s="22">
        <v>290</v>
      </c>
      <c r="G14" s="22">
        <v>200</v>
      </c>
      <c r="H14" s="32">
        <f>G14</f>
        <v>200</v>
      </c>
      <c r="I14" s="32"/>
      <c r="J14" s="32"/>
      <c r="K14" s="26">
        <f>H14</f>
        <v>200</v>
      </c>
      <c r="L14" s="22">
        <v>0</v>
      </c>
      <c r="M14" s="34">
        <f>SUM(N14:R14)</f>
        <v>74.751000000000005</v>
      </c>
      <c r="N14" s="14"/>
      <c r="O14" s="14"/>
      <c r="P14" s="14">
        <v>74.751000000000005</v>
      </c>
      <c r="Q14" s="14"/>
      <c r="R14" s="14"/>
      <c r="S14" s="34">
        <f>SUM(T14:X14)</f>
        <v>200</v>
      </c>
      <c r="T14" s="14"/>
      <c r="U14" s="14"/>
      <c r="V14" s="14"/>
      <c r="W14" s="14">
        <f>K14</f>
        <v>200</v>
      </c>
      <c r="X14" s="14"/>
      <c r="Y14" s="34">
        <f>SUM(Z14:AD14)</f>
        <v>74.751000000000005</v>
      </c>
      <c r="Z14" s="14">
        <f t="shared" si="5"/>
        <v>0</v>
      </c>
      <c r="AA14" s="14">
        <f t="shared" si="5"/>
        <v>0</v>
      </c>
      <c r="AB14" s="14">
        <f>P14-V14</f>
        <v>74.751000000000005</v>
      </c>
      <c r="AC14" s="14">
        <f t="shared" si="7"/>
        <v>0</v>
      </c>
      <c r="AD14" s="14">
        <f t="shared" si="7"/>
        <v>0</v>
      </c>
      <c r="AE14" s="25"/>
      <c r="AF14" s="12" t="s">
        <v>37</v>
      </c>
    </row>
    <row r="15" spans="1:32" s="24" customFormat="1" ht="70.5" customHeight="1" x14ac:dyDescent="0.3">
      <c r="A15" s="49" t="s">
        <v>15</v>
      </c>
      <c r="B15" s="65" t="s">
        <v>220</v>
      </c>
      <c r="C15" s="60" t="s">
        <v>211</v>
      </c>
      <c r="D15" s="12"/>
      <c r="E15" s="22">
        <f>F15</f>
        <v>270</v>
      </c>
      <c r="F15" s="22">
        <v>270</v>
      </c>
      <c r="G15" s="22">
        <v>200</v>
      </c>
      <c r="H15" s="32">
        <f>G15</f>
        <v>200</v>
      </c>
      <c r="I15" s="32"/>
      <c r="J15" s="32"/>
      <c r="K15" s="26">
        <f>H15</f>
        <v>200</v>
      </c>
      <c r="L15" s="22">
        <v>0</v>
      </c>
      <c r="M15" s="34">
        <f>SUM(N15:R15)</f>
        <v>157.447</v>
      </c>
      <c r="N15" s="14"/>
      <c r="O15" s="14"/>
      <c r="P15" s="14">
        <v>157.447</v>
      </c>
      <c r="Q15" s="14"/>
      <c r="R15" s="14"/>
      <c r="S15" s="34">
        <f>SUM(T15:X15)</f>
        <v>200</v>
      </c>
      <c r="T15" s="14"/>
      <c r="U15" s="14"/>
      <c r="V15" s="14"/>
      <c r="W15" s="14">
        <f>K15</f>
        <v>200</v>
      </c>
      <c r="X15" s="14"/>
      <c r="Y15" s="34">
        <f>SUM(Z15:AD15)</f>
        <v>157.447</v>
      </c>
      <c r="Z15" s="14">
        <f t="shared" si="5"/>
        <v>0</v>
      </c>
      <c r="AA15" s="14">
        <f t="shared" si="5"/>
        <v>0</v>
      </c>
      <c r="AB15" s="14">
        <f>P15-V15</f>
        <v>157.447</v>
      </c>
      <c r="AC15" s="14">
        <f t="shared" si="7"/>
        <v>0</v>
      </c>
      <c r="AD15" s="14">
        <f t="shared" si="7"/>
        <v>0</v>
      </c>
      <c r="AE15" s="25"/>
      <c r="AF15" s="12" t="s">
        <v>37</v>
      </c>
    </row>
    <row r="16" spans="1:32" s="46" customFormat="1" ht="48" customHeight="1" x14ac:dyDescent="0.3">
      <c r="A16" s="44" t="s">
        <v>183</v>
      </c>
      <c r="B16" s="45" t="s">
        <v>184</v>
      </c>
      <c r="C16" s="45"/>
      <c r="D16" s="68"/>
      <c r="E16" s="9">
        <f t="shared" ref="E16:AD16" si="8">SUM(E17:E27)</f>
        <v>60144.491999999998</v>
      </c>
      <c r="F16" s="9">
        <f t="shared" si="8"/>
        <v>60144.491999999998</v>
      </c>
      <c r="G16" s="9">
        <f t="shared" si="8"/>
        <v>20548.864999999998</v>
      </c>
      <c r="H16" s="9">
        <f t="shared" si="8"/>
        <v>19984.7</v>
      </c>
      <c r="I16" s="9">
        <f t="shared" si="8"/>
        <v>0</v>
      </c>
      <c r="J16" s="9">
        <f t="shared" si="8"/>
        <v>0</v>
      </c>
      <c r="K16" s="9">
        <f t="shared" si="8"/>
        <v>19984.7</v>
      </c>
      <c r="L16" s="9">
        <f t="shared" si="8"/>
        <v>0</v>
      </c>
      <c r="M16" s="9">
        <f t="shared" si="8"/>
        <v>4200</v>
      </c>
      <c r="N16" s="9">
        <f t="shared" si="8"/>
        <v>0</v>
      </c>
      <c r="O16" s="9">
        <f t="shared" si="8"/>
        <v>0</v>
      </c>
      <c r="P16" s="9">
        <f t="shared" si="8"/>
        <v>4200</v>
      </c>
      <c r="Q16" s="9">
        <f t="shared" si="8"/>
        <v>0</v>
      </c>
      <c r="R16" s="9">
        <f t="shared" si="8"/>
        <v>0</v>
      </c>
      <c r="S16" s="9">
        <f t="shared" si="8"/>
        <v>17709.317999999999</v>
      </c>
      <c r="T16" s="9">
        <f t="shared" si="8"/>
        <v>0</v>
      </c>
      <c r="U16" s="9">
        <f t="shared" si="8"/>
        <v>0</v>
      </c>
      <c r="V16" s="9">
        <f t="shared" si="8"/>
        <v>0</v>
      </c>
      <c r="W16" s="9">
        <f t="shared" si="8"/>
        <v>17709.317999999999</v>
      </c>
      <c r="X16" s="9">
        <f t="shared" si="8"/>
        <v>0</v>
      </c>
      <c r="Y16" s="9">
        <f t="shared" si="8"/>
        <v>6475.3820000000014</v>
      </c>
      <c r="Z16" s="9">
        <f t="shared" si="8"/>
        <v>0</v>
      </c>
      <c r="AA16" s="9">
        <f t="shared" si="8"/>
        <v>0</v>
      </c>
      <c r="AB16" s="9">
        <f t="shared" si="8"/>
        <v>4200</v>
      </c>
      <c r="AC16" s="9">
        <f t="shared" si="8"/>
        <v>2275.3820000000001</v>
      </c>
      <c r="AD16" s="9">
        <f t="shared" si="8"/>
        <v>0</v>
      </c>
      <c r="AE16" s="21">
        <f>SUM(AE17:AE17)</f>
        <v>0</v>
      </c>
      <c r="AF16" s="11"/>
    </row>
    <row r="17" spans="1:32" s="36" customFormat="1" ht="46.8" x14ac:dyDescent="0.3">
      <c r="A17" s="49" t="s">
        <v>11</v>
      </c>
      <c r="B17" s="60" t="s">
        <v>189</v>
      </c>
      <c r="C17" s="60" t="s">
        <v>187</v>
      </c>
      <c r="D17" s="12" t="s">
        <v>190</v>
      </c>
      <c r="E17" s="14">
        <v>3357</v>
      </c>
      <c r="F17" s="14">
        <v>3357</v>
      </c>
      <c r="G17" s="14">
        <v>1827.2</v>
      </c>
      <c r="H17" s="14">
        <v>1827.2</v>
      </c>
      <c r="I17" s="14"/>
      <c r="J17" s="14"/>
      <c r="K17" s="14">
        <v>1827.2</v>
      </c>
      <c r="L17" s="14">
        <v>0</v>
      </c>
      <c r="M17" s="34">
        <f t="shared" ref="M17:M42" si="9">SUM(N17:R17)</f>
        <v>200</v>
      </c>
      <c r="N17" s="14"/>
      <c r="O17" s="14"/>
      <c r="P17" s="14">
        <v>200</v>
      </c>
      <c r="Q17" s="14"/>
      <c r="R17" s="14"/>
      <c r="S17" s="34">
        <f t="shared" ref="S17:S42" si="10">SUM(T17:X17)</f>
        <v>200</v>
      </c>
      <c r="T17" s="14"/>
      <c r="U17" s="14"/>
      <c r="V17" s="14"/>
      <c r="W17" s="14">
        <f>P17</f>
        <v>200</v>
      </c>
      <c r="X17" s="14"/>
      <c r="Y17" s="34">
        <f t="shared" ref="Y17:Y42" si="11">SUM(Z17:AD17)</f>
        <v>1827.2</v>
      </c>
      <c r="Z17" s="14">
        <f t="shared" ref="Z17:AA41" si="12">I17+N17-T17</f>
        <v>0</v>
      </c>
      <c r="AA17" s="14">
        <f t="shared" si="12"/>
        <v>0</v>
      </c>
      <c r="AB17" s="14">
        <f t="shared" ref="AB17:AB41" si="13">P17-V17</f>
        <v>200</v>
      </c>
      <c r="AC17" s="14">
        <f t="shared" ref="AC17:AD41" si="14">K17+Q17-W17</f>
        <v>1627.2</v>
      </c>
      <c r="AD17" s="14">
        <f t="shared" si="14"/>
        <v>0</v>
      </c>
      <c r="AE17" s="17"/>
      <c r="AF17" s="16" t="s">
        <v>40</v>
      </c>
    </row>
    <row r="18" spans="1:32" s="36" customFormat="1" ht="66" customHeight="1" x14ac:dyDescent="0.3">
      <c r="A18" s="49" t="s">
        <v>12</v>
      </c>
      <c r="B18" s="71" t="s">
        <v>196</v>
      </c>
      <c r="C18" s="60" t="s">
        <v>197</v>
      </c>
      <c r="D18" s="69" t="s">
        <v>198</v>
      </c>
      <c r="E18" s="14">
        <v>12073.202000000001</v>
      </c>
      <c r="F18" s="14">
        <v>12073.202000000001</v>
      </c>
      <c r="G18" s="14">
        <f>12073.202-11175.237</f>
        <v>897.96500000000015</v>
      </c>
      <c r="H18" s="14">
        <f>SUBTOTAL(9,I18:L18)</f>
        <v>333.40000000000009</v>
      </c>
      <c r="I18" s="14"/>
      <c r="J18" s="14"/>
      <c r="K18" s="14">
        <v>333.40000000000009</v>
      </c>
      <c r="L18" s="14">
        <v>0</v>
      </c>
      <c r="M18" s="34">
        <f t="shared" si="9"/>
        <v>750</v>
      </c>
      <c r="N18" s="14"/>
      <c r="O18" s="14"/>
      <c r="P18" s="14">
        <v>750</v>
      </c>
      <c r="Q18" s="14"/>
      <c r="R18" s="14"/>
      <c r="S18" s="34">
        <f t="shared" si="10"/>
        <v>185.03499999999985</v>
      </c>
      <c r="T18" s="14"/>
      <c r="U18" s="14"/>
      <c r="V18" s="14"/>
      <c r="W18" s="14">
        <f>333-G18+P18</f>
        <v>185.03499999999985</v>
      </c>
      <c r="X18" s="14"/>
      <c r="Y18" s="34">
        <f t="shared" si="11"/>
        <v>898.36500000000024</v>
      </c>
      <c r="Z18" s="14">
        <f t="shared" si="12"/>
        <v>0</v>
      </c>
      <c r="AA18" s="14">
        <f t="shared" si="12"/>
        <v>0</v>
      </c>
      <c r="AB18" s="14">
        <f t="shared" si="13"/>
        <v>750</v>
      </c>
      <c r="AC18" s="14">
        <f t="shared" si="14"/>
        <v>148.36500000000024</v>
      </c>
      <c r="AD18" s="14">
        <f t="shared" si="14"/>
        <v>0</v>
      </c>
      <c r="AE18" s="17"/>
      <c r="AF18" s="16" t="s">
        <v>40</v>
      </c>
    </row>
    <row r="19" spans="1:32" s="36" customFormat="1" ht="66.75" customHeight="1" x14ac:dyDescent="0.3">
      <c r="A19" s="49" t="s">
        <v>13</v>
      </c>
      <c r="B19" s="57" t="s">
        <v>200</v>
      </c>
      <c r="C19" s="60" t="s">
        <v>197</v>
      </c>
      <c r="D19" s="12"/>
      <c r="E19" s="14">
        <v>8200</v>
      </c>
      <c r="F19" s="14">
        <v>8200</v>
      </c>
      <c r="G19" s="14">
        <f>2984-2421.1</f>
        <v>562.90000000000009</v>
      </c>
      <c r="H19" s="14">
        <f t="shared" ref="H19:H20" si="15">G19</f>
        <v>562.90000000000009</v>
      </c>
      <c r="I19" s="14"/>
      <c r="J19" s="14"/>
      <c r="K19" s="14">
        <f t="shared" ref="K19:K20" si="16">G19</f>
        <v>562.90000000000009</v>
      </c>
      <c r="L19" s="14">
        <v>0</v>
      </c>
      <c r="M19" s="34">
        <f t="shared" si="9"/>
        <v>500</v>
      </c>
      <c r="N19" s="14"/>
      <c r="O19" s="14"/>
      <c r="P19" s="14">
        <v>500</v>
      </c>
      <c r="Q19" s="14"/>
      <c r="R19" s="14"/>
      <c r="S19" s="34">
        <f t="shared" si="10"/>
        <v>500</v>
      </c>
      <c r="T19" s="14"/>
      <c r="U19" s="14"/>
      <c r="V19" s="14"/>
      <c r="W19" s="14">
        <v>500</v>
      </c>
      <c r="X19" s="14"/>
      <c r="Y19" s="34">
        <f t="shared" si="11"/>
        <v>562.90000000000009</v>
      </c>
      <c r="Z19" s="14">
        <f t="shared" si="12"/>
        <v>0</v>
      </c>
      <c r="AA19" s="14">
        <f t="shared" si="12"/>
        <v>0</v>
      </c>
      <c r="AB19" s="14">
        <f t="shared" si="13"/>
        <v>500</v>
      </c>
      <c r="AC19" s="14">
        <f t="shared" si="14"/>
        <v>62.900000000000091</v>
      </c>
      <c r="AD19" s="14">
        <f t="shared" si="14"/>
        <v>0</v>
      </c>
      <c r="AE19" s="17"/>
      <c r="AF19" s="16" t="s">
        <v>45</v>
      </c>
    </row>
    <row r="20" spans="1:32" s="24" customFormat="1" ht="46.5" customHeight="1" x14ac:dyDescent="0.3">
      <c r="A20" s="49" t="s">
        <v>14</v>
      </c>
      <c r="B20" s="57" t="s">
        <v>201</v>
      </c>
      <c r="C20" s="60" t="s">
        <v>197</v>
      </c>
      <c r="D20" s="60"/>
      <c r="E20" s="22">
        <v>3960</v>
      </c>
      <c r="F20" s="22">
        <v>3960</v>
      </c>
      <c r="G20" s="22">
        <f>3945.8-2949</f>
        <v>996.80000000000018</v>
      </c>
      <c r="H20" s="14">
        <f t="shared" si="15"/>
        <v>996.80000000000018</v>
      </c>
      <c r="I20" s="14"/>
      <c r="J20" s="14"/>
      <c r="K20" s="14">
        <f t="shared" si="16"/>
        <v>996.80000000000018</v>
      </c>
      <c r="L20" s="22">
        <v>0</v>
      </c>
      <c r="M20" s="34">
        <f t="shared" si="9"/>
        <v>900</v>
      </c>
      <c r="N20" s="14"/>
      <c r="O20" s="14"/>
      <c r="P20" s="14">
        <v>900</v>
      </c>
      <c r="Q20" s="14"/>
      <c r="R20" s="14"/>
      <c r="S20" s="34">
        <f t="shared" si="10"/>
        <v>900</v>
      </c>
      <c r="T20" s="14"/>
      <c r="U20" s="14"/>
      <c r="V20" s="14"/>
      <c r="W20" s="14">
        <v>900</v>
      </c>
      <c r="X20" s="14"/>
      <c r="Y20" s="34">
        <f t="shared" si="11"/>
        <v>996.80000000000018</v>
      </c>
      <c r="Z20" s="14">
        <f t="shared" si="12"/>
        <v>0</v>
      </c>
      <c r="AA20" s="14">
        <f t="shared" si="12"/>
        <v>0</v>
      </c>
      <c r="AB20" s="14">
        <f t="shared" si="13"/>
        <v>900</v>
      </c>
      <c r="AC20" s="14">
        <f t="shared" si="14"/>
        <v>96.800000000000182</v>
      </c>
      <c r="AD20" s="14">
        <f t="shared" si="14"/>
        <v>0</v>
      </c>
      <c r="AE20" s="23"/>
      <c r="AF20" s="16" t="s">
        <v>34</v>
      </c>
    </row>
    <row r="21" spans="1:32" s="24" customFormat="1" ht="48.75" customHeight="1" x14ac:dyDescent="0.3">
      <c r="A21" s="49" t="s">
        <v>15</v>
      </c>
      <c r="B21" s="60" t="s">
        <v>212</v>
      </c>
      <c r="C21" s="60" t="s">
        <v>211</v>
      </c>
      <c r="D21" s="12"/>
      <c r="E21" s="22">
        <f t="shared" ref="E21:E25" si="17">F21</f>
        <v>300</v>
      </c>
      <c r="F21" s="22">
        <v>300</v>
      </c>
      <c r="G21" s="22">
        <v>162</v>
      </c>
      <c r="H21" s="14">
        <v>162.4</v>
      </c>
      <c r="I21" s="14"/>
      <c r="J21" s="14"/>
      <c r="K21" s="22">
        <v>162.4</v>
      </c>
      <c r="L21" s="22">
        <v>0</v>
      </c>
      <c r="M21" s="34">
        <f t="shared" si="9"/>
        <v>0</v>
      </c>
      <c r="N21" s="14"/>
      <c r="O21" s="14"/>
      <c r="P21" s="14"/>
      <c r="Q21" s="14"/>
      <c r="R21" s="14"/>
      <c r="S21" s="34">
        <f t="shared" si="10"/>
        <v>162.4</v>
      </c>
      <c r="T21" s="14"/>
      <c r="U21" s="14"/>
      <c r="V21" s="14"/>
      <c r="W21" s="14">
        <f>K21</f>
        <v>162.4</v>
      </c>
      <c r="X21" s="14"/>
      <c r="Y21" s="34">
        <f t="shared" si="11"/>
        <v>0</v>
      </c>
      <c r="Z21" s="14">
        <f t="shared" si="12"/>
        <v>0</v>
      </c>
      <c r="AA21" s="14">
        <f t="shared" si="12"/>
        <v>0</v>
      </c>
      <c r="AB21" s="14">
        <f t="shared" si="13"/>
        <v>0</v>
      </c>
      <c r="AC21" s="14">
        <f t="shared" si="14"/>
        <v>0</v>
      </c>
      <c r="AD21" s="14">
        <f t="shared" si="14"/>
        <v>0</v>
      </c>
      <c r="AE21" s="23"/>
      <c r="AF21" s="16" t="s">
        <v>37</v>
      </c>
    </row>
    <row r="22" spans="1:32" s="24" customFormat="1" ht="77.25" customHeight="1" x14ac:dyDescent="0.3">
      <c r="A22" s="49" t="s">
        <v>16</v>
      </c>
      <c r="B22" s="75" t="s">
        <v>214</v>
      </c>
      <c r="C22" s="60" t="s">
        <v>211</v>
      </c>
      <c r="D22" s="12"/>
      <c r="E22" s="22">
        <f t="shared" si="17"/>
        <v>800</v>
      </c>
      <c r="F22" s="22">
        <v>800</v>
      </c>
      <c r="G22" s="22">
        <v>600</v>
      </c>
      <c r="H22" s="14">
        <v>600</v>
      </c>
      <c r="I22" s="14"/>
      <c r="J22" s="14"/>
      <c r="K22" s="22">
        <v>600</v>
      </c>
      <c r="L22" s="22">
        <v>0</v>
      </c>
      <c r="M22" s="34">
        <f t="shared" si="9"/>
        <v>600</v>
      </c>
      <c r="N22" s="14"/>
      <c r="O22" s="14"/>
      <c r="P22" s="14">
        <v>600</v>
      </c>
      <c r="Q22" s="14"/>
      <c r="R22" s="14"/>
      <c r="S22" s="34">
        <f t="shared" si="10"/>
        <v>480.25900000000001</v>
      </c>
      <c r="T22" s="14"/>
      <c r="U22" s="14"/>
      <c r="V22" s="14"/>
      <c r="W22" s="92">
        <f>K22-119.741</f>
        <v>480.25900000000001</v>
      </c>
      <c r="X22" s="14"/>
      <c r="Y22" s="34">
        <f t="shared" si="11"/>
        <v>719.74099999999999</v>
      </c>
      <c r="Z22" s="14">
        <f t="shared" si="12"/>
        <v>0</v>
      </c>
      <c r="AA22" s="14">
        <f t="shared" si="12"/>
        <v>0</v>
      </c>
      <c r="AB22" s="14">
        <f t="shared" si="13"/>
        <v>600</v>
      </c>
      <c r="AC22" s="14">
        <f t="shared" si="14"/>
        <v>119.74099999999999</v>
      </c>
      <c r="AD22" s="14">
        <f t="shared" si="14"/>
        <v>0</v>
      </c>
      <c r="AE22" s="25"/>
      <c r="AF22" s="12" t="s">
        <v>75</v>
      </c>
    </row>
    <row r="23" spans="1:32" s="24" customFormat="1" ht="48.75" customHeight="1" x14ac:dyDescent="0.3">
      <c r="A23" s="49" t="s">
        <v>17</v>
      </c>
      <c r="B23" s="65" t="s">
        <v>215</v>
      </c>
      <c r="C23" s="60" t="s">
        <v>211</v>
      </c>
      <c r="D23" s="12"/>
      <c r="E23" s="22">
        <f t="shared" si="17"/>
        <v>446.29</v>
      </c>
      <c r="F23" s="22">
        <v>446.29</v>
      </c>
      <c r="G23" s="22">
        <v>100</v>
      </c>
      <c r="H23" s="32">
        <f t="shared" ref="H23:H25" si="18">G23</f>
        <v>100</v>
      </c>
      <c r="I23" s="32"/>
      <c r="J23" s="32"/>
      <c r="K23" s="26">
        <f t="shared" ref="K23:K25" si="19">H23</f>
        <v>100</v>
      </c>
      <c r="L23" s="22">
        <v>0</v>
      </c>
      <c r="M23" s="34">
        <f t="shared" si="9"/>
        <v>400</v>
      </c>
      <c r="N23" s="14"/>
      <c r="O23" s="14"/>
      <c r="P23" s="14">
        <v>400</v>
      </c>
      <c r="Q23" s="14"/>
      <c r="R23" s="14"/>
      <c r="S23" s="34">
        <f t="shared" si="10"/>
        <v>53.71</v>
      </c>
      <c r="T23" s="14"/>
      <c r="U23" s="14"/>
      <c r="V23" s="14"/>
      <c r="W23" s="14">
        <f>100-46.29</f>
        <v>53.71</v>
      </c>
      <c r="X23" s="14"/>
      <c r="Y23" s="34">
        <f t="shared" si="11"/>
        <v>446.29</v>
      </c>
      <c r="Z23" s="14">
        <f t="shared" si="12"/>
        <v>0</v>
      </c>
      <c r="AA23" s="14">
        <f t="shared" si="12"/>
        <v>0</v>
      </c>
      <c r="AB23" s="14">
        <f t="shared" si="13"/>
        <v>400</v>
      </c>
      <c r="AC23" s="14">
        <f t="shared" si="14"/>
        <v>46.29</v>
      </c>
      <c r="AD23" s="14">
        <f t="shared" si="14"/>
        <v>0</v>
      </c>
      <c r="AE23" s="25"/>
      <c r="AF23" s="12" t="s">
        <v>40</v>
      </c>
    </row>
    <row r="24" spans="1:32" s="24" customFormat="1" ht="47.4" customHeight="1" x14ac:dyDescent="0.3">
      <c r="A24" s="49" t="s">
        <v>18</v>
      </c>
      <c r="B24" s="76" t="s">
        <v>216</v>
      </c>
      <c r="C24" s="60" t="s">
        <v>211</v>
      </c>
      <c r="D24" s="12"/>
      <c r="E24" s="22">
        <f t="shared" si="17"/>
        <v>500</v>
      </c>
      <c r="F24" s="22">
        <v>500</v>
      </c>
      <c r="G24" s="22">
        <v>100</v>
      </c>
      <c r="H24" s="32">
        <f t="shared" si="18"/>
        <v>100</v>
      </c>
      <c r="I24" s="32"/>
      <c r="J24" s="32"/>
      <c r="K24" s="26">
        <f t="shared" si="19"/>
        <v>100</v>
      </c>
      <c r="L24" s="22">
        <v>0</v>
      </c>
      <c r="M24" s="34">
        <f t="shared" si="9"/>
        <v>400</v>
      </c>
      <c r="N24" s="14"/>
      <c r="O24" s="14"/>
      <c r="P24" s="14">
        <v>400</v>
      </c>
      <c r="Q24" s="14"/>
      <c r="R24" s="14"/>
      <c r="S24" s="34">
        <f t="shared" si="10"/>
        <v>25.914000000000001</v>
      </c>
      <c r="T24" s="14"/>
      <c r="U24" s="14"/>
      <c r="V24" s="14"/>
      <c r="W24" s="14">
        <v>25.914000000000001</v>
      </c>
      <c r="X24" s="14"/>
      <c r="Y24" s="34">
        <f t="shared" si="11"/>
        <v>474.08600000000001</v>
      </c>
      <c r="Z24" s="14">
        <f t="shared" si="12"/>
        <v>0</v>
      </c>
      <c r="AA24" s="14">
        <f t="shared" si="12"/>
        <v>0</v>
      </c>
      <c r="AB24" s="14">
        <f t="shared" si="13"/>
        <v>400</v>
      </c>
      <c r="AC24" s="14">
        <f t="shared" si="14"/>
        <v>74.085999999999999</v>
      </c>
      <c r="AD24" s="14">
        <f t="shared" si="14"/>
        <v>0</v>
      </c>
      <c r="AE24" s="25"/>
      <c r="AF24" s="12" t="s">
        <v>217</v>
      </c>
    </row>
    <row r="25" spans="1:32" s="24" customFormat="1" ht="60.75" customHeight="1" x14ac:dyDescent="0.3">
      <c r="A25" s="49" t="s">
        <v>19</v>
      </c>
      <c r="B25" s="74" t="s">
        <v>224</v>
      </c>
      <c r="C25" s="60"/>
      <c r="D25" s="12"/>
      <c r="E25" s="22">
        <f t="shared" si="17"/>
        <v>1635</v>
      </c>
      <c r="F25" s="77">
        <v>1635</v>
      </c>
      <c r="G25" s="25">
        <v>100</v>
      </c>
      <c r="H25" s="32">
        <f t="shared" si="18"/>
        <v>100</v>
      </c>
      <c r="I25" s="32"/>
      <c r="J25" s="32"/>
      <c r="K25" s="26">
        <f t="shared" si="19"/>
        <v>100</v>
      </c>
      <c r="L25" s="25">
        <v>0</v>
      </c>
      <c r="M25" s="34">
        <f t="shared" si="9"/>
        <v>250</v>
      </c>
      <c r="N25" s="14"/>
      <c r="O25" s="14"/>
      <c r="P25" s="14">
        <v>250</v>
      </c>
      <c r="Q25" s="14"/>
      <c r="R25" s="14"/>
      <c r="S25" s="34">
        <f t="shared" si="10"/>
        <v>0</v>
      </c>
      <c r="T25" s="14"/>
      <c r="U25" s="14"/>
      <c r="V25" s="14"/>
      <c r="W25" s="14"/>
      <c r="X25" s="14"/>
      <c r="Y25" s="34">
        <f t="shared" si="11"/>
        <v>350</v>
      </c>
      <c r="Z25" s="14">
        <f t="shared" si="12"/>
        <v>0</v>
      </c>
      <c r="AA25" s="14">
        <f t="shared" si="12"/>
        <v>0</v>
      </c>
      <c r="AB25" s="14">
        <f t="shared" si="13"/>
        <v>250</v>
      </c>
      <c r="AC25" s="14">
        <f t="shared" si="14"/>
        <v>100</v>
      </c>
      <c r="AD25" s="14">
        <f t="shared" si="14"/>
        <v>0</v>
      </c>
      <c r="AE25" s="25"/>
      <c r="AF25" s="12"/>
    </row>
    <row r="26" spans="1:32" s="85" customFormat="1" ht="136.5" customHeight="1" x14ac:dyDescent="0.3">
      <c r="A26" s="95" t="s">
        <v>20</v>
      </c>
      <c r="B26" s="96" t="s">
        <v>164</v>
      </c>
      <c r="C26" s="97" t="s">
        <v>87</v>
      </c>
      <c r="D26" s="98"/>
      <c r="E26" s="99">
        <v>13671</v>
      </c>
      <c r="F26" s="99">
        <v>13671</v>
      </c>
      <c r="G26" s="99">
        <f>H26</f>
        <v>2000</v>
      </c>
      <c r="H26" s="99">
        <v>2000</v>
      </c>
      <c r="I26" s="99"/>
      <c r="J26" s="99"/>
      <c r="K26" s="63">
        <v>2000</v>
      </c>
      <c r="L26" s="99">
        <v>0</v>
      </c>
      <c r="M26" s="34">
        <f>SUM(N26:R26)</f>
        <v>200</v>
      </c>
      <c r="N26" s="99"/>
      <c r="O26" s="99"/>
      <c r="P26" s="99">
        <v>200</v>
      </c>
      <c r="Q26" s="99"/>
      <c r="R26" s="99"/>
      <c r="S26" s="34">
        <f>SUM(T26:X26)</f>
        <v>2000</v>
      </c>
      <c r="T26" s="99"/>
      <c r="U26" s="99"/>
      <c r="V26" s="99"/>
      <c r="W26" s="99">
        <f>K26</f>
        <v>2000</v>
      </c>
      <c r="X26" s="99"/>
      <c r="Y26" s="34">
        <f>SUM(Z26:AD26)</f>
        <v>200</v>
      </c>
      <c r="Z26" s="99">
        <f>I26+N26-T26</f>
        <v>0</v>
      </c>
      <c r="AA26" s="99">
        <f>J26+O26-U26</f>
        <v>0</v>
      </c>
      <c r="AB26" s="99">
        <f>P26-V26</f>
        <v>200</v>
      </c>
      <c r="AC26" s="99">
        <f>K26+Q26-W26</f>
        <v>0</v>
      </c>
      <c r="AD26" s="99">
        <f>L26+R26-X26</f>
        <v>0</v>
      </c>
      <c r="AE26" s="100" t="s">
        <v>260</v>
      </c>
      <c r="AF26" s="82"/>
    </row>
    <row r="27" spans="1:32" s="85" customFormat="1" ht="176.25" customHeight="1" x14ac:dyDescent="0.3">
      <c r="A27" s="95" t="s">
        <v>54</v>
      </c>
      <c r="B27" s="101" t="s">
        <v>182</v>
      </c>
      <c r="C27" s="102" t="s">
        <v>168</v>
      </c>
      <c r="D27" s="98"/>
      <c r="E27" s="99">
        <v>15202</v>
      </c>
      <c r="F27" s="99">
        <v>15202</v>
      </c>
      <c r="G27" s="99">
        <v>13202</v>
      </c>
      <c r="H27" s="99">
        <f>K27</f>
        <v>13202</v>
      </c>
      <c r="I27" s="99"/>
      <c r="J27" s="99"/>
      <c r="K27" s="99">
        <f>G27</f>
        <v>13202</v>
      </c>
      <c r="L27" s="99">
        <v>0</v>
      </c>
      <c r="M27" s="34">
        <f t="shared" si="9"/>
        <v>0</v>
      </c>
      <c r="N27" s="99"/>
      <c r="O27" s="99"/>
      <c r="P27" s="99"/>
      <c r="Q27" s="99"/>
      <c r="R27" s="99"/>
      <c r="S27" s="34">
        <f t="shared" si="10"/>
        <v>13202</v>
      </c>
      <c r="T27" s="99"/>
      <c r="U27" s="99"/>
      <c r="V27" s="99"/>
      <c r="W27" s="99">
        <v>13202</v>
      </c>
      <c r="X27" s="99"/>
      <c r="Y27" s="34">
        <f t="shared" si="11"/>
        <v>0</v>
      </c>
      <c r="Z27" s="99">
        <f t="shared" si="12"/>
        <v>0</v>
      </c>
      <c r="AA27" s="99">
        <f t="shared" si="12"/>
        <v>0</v>
      </c>
      <c r="AB27" s="99">
        <f t="shared" si="13"/>
        <v>0</v>
      </c>
      <c r="AC27" s="99">
        <f t="shared" si="14"/>
        <v>0</v>
      </c>
      <c r="AD27" s="99">
        <f t="shared" si="14"/>
        <v>0</v>
      </c>
      <c r="AE27" s="100" t="s">
        <v>261</v>
      </c>
      <c r="AF27" s="82" t="s">
        <v>37</v>
      </c>
    </row>
    <row r="28" spans="1:32" s="46" customFormat="1" ht="42" customHeight="1" x14ac:dyDescent="0.3">
      <c r="A28" s="44" t="s">
        <v>225</v>
      </c>
      <c r="B28" s="78" t="s">
        <v>226</v>
      </c>
      <c r="C28" s="78"/>
      <c r="D28" s="11"/>
      <c r="E28" s="27">
        <f t="shared" ref="E28:AD28" si="20">SUM(E29:E41)</f>
        <v>105806.79700000001</v>
      </c>
      <c r="F28" s="27">
        <f t="shared" si="20"/>
        <v>105806.79700000001</v>
      </c>
      <c r="G28" s="27">
        <f t="shared" si="20"/>
        <v>19653.703000000001</v>
      </c>
      <c r="H28" s="27">
        <f t="shared" si="20"/>
        <v>75561.500000000015</v>
      </c>
      <c r="I28" s="27">
        <f t="shared" si="20"/>
        <v>0</v>
      </c>
      <c r="J28" s="27">
        <f t="shared" si="20"/>
        <v>2000</v>
      </c>
      <c r="K28" s="27">
        <f t="shared" si="20"/>
        <v>72661.500000000015</v>
      </c>
      <c r="L28" s="27">
        <f t="shared" si="20"/>
        <v>900</v>
      </c>
      <c r="M28" s="27">
        <f t="shared" si="20"/>
        <v>15582</v>
      </c>
      <c r="N28" s="27">
        <f t="shared" si="20"/>
        <v>0</v>
      </c>
      <c r="O28" s="27">
        <f t="shared" si="20"/>
        <v>0</v>
      </c>
      <c r="P28" s="27">
        <f t="shared" si="20"/>
        <v>14950</v>
      </c>
      <c r="Q28" s="27">
        <f t="shared" si="20"/>
        <v>632</v>
      </c>
      <c r="R28" s="27">
        <f t="shared" si="20"/>
        <v>0</v>
      </c>
      <c r="S28" s="27">
        <f t="shared" si="20"/>
        <v>34976.072</v>
      </c>
      <c r="T28" s="27">
        <f t="shared" si="20"/>
        <v>0</v>
      </c>
      <c r="U28" s="27">
        <f t="shared" si="20"/>
        <v>2000</v>
      </c>
      <c r="V28" s="27">
        <f t="shared" si="20"/>
        <v>0</v>
      </c>
      <c r="W28" s="27">
        <f t="shared" si="20"/>
        <v>32076.072</v>
      </c>
      <c r="X28" s="27">
        <f t="shared" si="20"/>
        <v>900</v>
      </c>
      <c r="Y28" s="27">
        <f t="shared" si="20"/>
        <v>56167.428</v>
      </c>
      <c r="Z28" s="27">
        <f t="shared" si="20"/>
        <v>0</v>
      </c>
      <c r="AA28" s="27">
        <f t="shared" si="20"/>
        <v>0</v>
      </c>
      <c r="AB28" s="27">
        <f t="shared" si="20"/>
        <v>14950</v>
      </c>
      <c r="AC28" s="27">
        <f t="shared" si="20"/>
        <v>41217.428</v>
      </c>
      <c r="AD28" s="27">
        <f t="shared" si="20"/>
        <v>0</v>
      </c>
      <c r="AE28" s="27">
        <f>SUM(AE29:AE39)</f>
        <v>0</v>
      </c>
      <c r="AF28" s="27">
        <f>SUM(AF29:AF39)</f>
        <v>371</v>
      </c>
    </row>
    <row r="29" spans="1:32" s="35" customFormat="1" ht="29.25" customHeight="1" x14ac:dyDescent="0.3">
      <c r="A29" s="103">
        <v>1</v>
      </c>
      <c r="B29" s="104" t="s">
        <v>227</v>
      </c>
      <c r="C29" s="104" t="s">
        <v>187</v>
      </c>
      <c r="D29" s="105"/>
      <c r="E29" s="106">
        <f>F29</f>
        <v>3900</v>
      </c>
      <c r="F29" s="106">
        <v>3900</v>
      </c>
      <c r="G29" s="106">
        <v>3900</v>
      </c>
      <c r="H29" s="99">
        <f t="shared" ref="H29:H36" si="21">G29</f>
        <v>3900</v>
      </c>
      <c r="I29" s="99"/>
      <c r="J29" s="99">
        <v>2000</v>
      </c>
      <c r="K29" s="106">
        <v>1000</v>
      </c>
      <c r="L29" s="106">
        <v>900</v>
      </c>
      <c r="M29" s="34">
        <f t="shared" si="9"/>
        <v>0</v>
      </c>
      <c r="N29" s="99"/>
      <c r="O29" s="99"/>
      <c r="P29" s="99">
        <v>0</v>
      </c>
      <c r="Q29" s="99"/>
      <c r="R29" s="99"/>
      <c r="S29" s="34">
        <f t="shared" si="10"/>
        <v>3900</v>
      </c>
      <c r="T29" s="99"/>
      <c r="U29" s="99">
        <v>2000</v>
      </c>
      <c r="V29" s="99"/>
      <c r="W29" s="99">
        <v>1000</v>
      </c>
      <c r="X29" s="99">
        <v>900</v>
      </c>
      <c r="Y29" s="34">
        <f t="shared" si="11"/>
        <v>0</v>
      </c>
      <c r="Z29" s="99">
        <f t="shared" si="12"/>
        <v>0</v>
      </c>
      <c r="AA29" s="99">
        <f t="shared" si="12"/>
        <v>0</v>
      </c>
      <c r="AB29" s="99">
        <f t="shared" si="13"/>
        <v>0</v>
      </c>
      <c r="AC29" s="99">
        <f t="shared" si="14"/>
        <v>0</v>
      </c>
      <c r="AD29" s="99">
        <f t="shared" si="14"/>
        <v>0</v>
      </c>
      <c r="AE29" s="107"/>
      <c r="AF29" s="82" t="s">
        <v>67</v>
      </c>
    </row>
    <row r="30" spans="1:32" s="35" customFormat="1" ht="45" customHeight="1" x14ac:dyDescent="0.3">
      <c r="A30" s="108" t="s">
        <v>12</v>
      </c>
      <c r="B30" s="104" t="s">
        <v>210</v>
      </c>
      <c r="C30" s="104" t="s">
        <v>211</v>
      </c>
      <c r="D30" s="105"/>
      <c r="E30" s="106">
        <f>F30</f>
        <v>832</v>
      </c>
      <c r="F30" s="106">
        <v>832</v>
      </c>
      <c r="G30" s="106"/>
      <c r="H30" s="99">
        <v>200</v>
      </c>
      <c r="I30" s="99"/>
      <c r="J30" s="99"/>
      <c r="K30" s="106">
        <v>200</v>
      </c>
      <c r="L30" s="106">
        <v>0</v>
      </c>
      <c r="M30" s="34">
        <f>SUM(N30:R30)</f>
        <v>632</v>
      </c>
      <c r="N30" s="99"/>
      <c r="O30" s="99"/>
      <c r="P30" s="99"/>
      <c r="Q30" s="99">
        <f>832-K30</f>
        <v>632</v>
      </c>
      <c r="R30" s="99"/>
      <c r="S30" s="34">
        <f>SUM(T30:X30)</f>
        <v>0</v>
      </c>
      <c r="T30" s="99"/>
      <c r="U30" s="99"/>
      <c r="V30" s="99"/>
      <c r="W30" s="99"/>
      <c r="X30" s="99"/>
      <c r="Y30" s="34">
        <f>SUM(Z30:AD30)</f>
        <v>832</v>
      </c>
      <c r="Z30" s="99">
        <f>I30+N30-T30</f>
        <v>0</v>
      </c>
      <c r="AA30" s="99">
        <f>J30+O30-U30</f>
        <v>0</v>
      </c>
      <c r="AB30" s="99">
        <f>P30-V30</f>
        <v>0</v>
      </c>
      <c r="AC30" s="99">
        <f>K30+Q30-W30</f>
        <v>832</v>
      </c>
      <c r="AD30" s="99">
        <f>L30+R30-X30</f>
        <v>0</v>
      </c>
      <c r="AE30" s="107"/>
      <c r="AF30" s="82" t="s">
        <v>37</v>
      </c>
    </row>
    <row r="31" spans="1:32" s="35" customFormat="1" ht="30.75" customHeight="1" x14ac:dyDescent="0.3">
      <c r="A31" s="103">
        <v>3</v>
      </c>
      <c r="B31" s="96" t="s">
        <v>228</v>
      </c>
      <c r="C31" s="104" t="s">
        <v>197</v>
      </c>
      <c r="D31" s="104"/>
      <c r="E31" s="106">
        <v>18700</v>
      </c>
      <c r="F31" s="106">
        <v>18700</v>
      </c>
      <c r="G31" s="106">
        <v>7000</v>
      </c>
      <c r="H31" s="99">
        <f t="shared" si="21"/>
        <v>7000</v>
      </c>
      <c r="I31" s="99"/>
      <c r="J31" s="99"/>
      <c r="K31" s="106">
        <f>H31</f>
        <v>7000</v>
      </c>
      <c r="L31" s="106">
        <v>0</v>
      </c>
      <c r="M31" s="34">
        <f t="shared" si="9"/>
        <v>5000</v>
      </c>
      <c r="N31" s="99"/>
      <c r="O31" s="99"/>
      <c r="P31" s="99">
        <v>5000</v>
      </c>
      <c r="Q31" s="99"/>
      <c r="R31" s="99"/>
      <c r="S31" s="34">
        <f t="shared" si="10"/>
        <v>7000</v>
      </c>
      <c r="T31" s="99"/>
      <c r="U31" s="99"/>
      <c r="V31" s="99"/>
      <c r="W31" s="99">
        <v>7000</v>
      </c>
      <c r="X31" s="99"/>
      <c r="Y31" s="34">
        <f t="shared" si="11"/>
        <v>5000</v>
      </c>
      <c r="Z31" s="99">
        <f t="shared" si="12"/>
        <v>0</v>
      </c>
      <c r="AA31" s="99">
        <f t="shared" si="12"/>
        <v>0</v>
      </c>
      <c r="AB31" s="99">
        <f t="shared" si="13"/>
        <v>5000</v>
      </c>
      <c r="AC31" s="99">
        <f t="shared" si="14"/>
        <v>0</v>
      </c>
      <c r="AD31" s="99">
        <f t="shared" si="14"/>
        <v>0</v>
      </c>
      <c r="AE31" s="107"/>
      <c r="AF31" s="82" t="s">
        <v>31</v>
      </c>
    </row>
    <row r="32" spans="1:32" s="35" customFormat="1" ht="127.5" customHeight="1" x14ac:dyDescent="0.3">
      <c r="A32" s="108">
        <v>4</v>
      </c>
      <c r="B32" s="96" t="s">
        <v>229</v>
      </c>
      <c r="C32" s="104" t="s">
        <v>197</v>
      </c>
      <c r="D32" s="104"/>
      <c r="E32" s="106">
        <v>13000</v>
      </c>
      <c r="F32" s="106">
        <v>13000</v>
      </c>
      <c r="G32" s="106">
        <v>1000</v>
      </c>
      <c r="H32" s="99">
        <f t="shared" si="21"/>
        <v>1000</v>
      </c>
      <c r="I32" s="99"/>
      <c r="J32" s="99"/>
      <c r="K32" s="106">
        <f>G32</f>
        <v>1000</v>
      </c>
      <c r="L32" s="106">
        <v>0</v>
      </c>
      <c r="M32" s="34">
        <f t="shared" si="9"/>
        <v>0</v>
      </c>
      <c r="N32" s="99"/>
      <c r="O32" s="99"/>
      <c r="P32" s="99"/>
      <c r="Q32" s="99"/>
      <c r="R32" s="99"/>
      <c r="S32" s="34">
        <f t="shared" si="10"/>
        <v>0</v>
      </c>
      <c r="T32" s="99"/>
      <c r="U32" s="99"/>
      <c r="V32" s="99"/>
      <c r="W32" s="99"/>
      <c r="X32" s="99"/>
      <c r="Y32" s="34">
        <f t="shared" si="11"/>
        <v>1000</v>
      </c>
      <c r="Z32" s="99">
        <f t="shared" si="12"/>
        <v>0</v>
      </c>
      <c r="AA32" s="99">
        <f t="shared" si="12"/>
        <v>0</v>
      </c>
      <c r="AB32" s="99">
        <f t="shared" si="13"/>
        <v>0</v>
      </c>
      <c r="AC32" s="99">
        <f t="shared" si="14"/>
        <v>1000</v>
      </c>
      <c r="AD32" s="99">
        <f t="shared" si="14"/>
        <v>0</v>
      </c>
      <c r="AE32" s="107"/>
      <c r="AF32" s="82" t="s">
        <v>40</v>
      </c>
    </row>
    <row r="33" spans="1:32" s="35" customFormat="1" ht="43.5" customHeight="1" x14ac:dyDescent="0.3">
      <c r="A33" s="103">
        <v>5</v>
      </c>
      <c r="B33" s="96" t="s">
        <v>230</v>
      </c>
      <c r="C33" s="104" t="s">
        <v>197</v>
      </c>
      <c r="D33" s="104"/>
      <c r="E33" s="106">
        <v>2500</v>
      </c>
      <c r="F33" s="106">
        <f>E33</f>
        <v>2500</v>
      </c>
      <c r="G33" s="106">
        <f>1942-1248.5+150</f>
        <v>843.5</v>
      </c>
      <c r="H33" s="99">
        <f t="shared" si="21"/>
        <v>843.5</v>
      </c>
      <c r="I33" s="99"/>
      <c r="J33" s="99"/>
      <c r="K33" s="106">
        <f>G33</f>
        <v>843.5</v>
      </c>
      <c r="L33" s="106">
        <v>0</v>
      </c>
      <c r="M33" s="34">
        <f t="shared" si="9"/>
        <v>500</v>
      </c>
      <c r="N33" s="99"/>
      <c r="O33" s="99"/>
      <c r="P33" s="99">
        <v>500</v>
      </c>
      <c r="Q33" s="99"/>
      <c r="R33" s="99"/>
      <c r="S33" s="34">
        <f t="shared" si="10"/>
        <v>626</v>
      </c>
      <c r="T33" s="99"/>
      <c r="U33" s="99"/>
      <c r="V33" s="99"/>
      <c r="W33" s="99">
        <v>626</v>
      </c>
      <c r="X33" s="99"/>
      <c r="Y33" s="34">
        <f t="shared" si="11"/>
        <v>717.5</v>
      </c>
      <c r="Z33" s="99">
        <f t="shared" si="12"/>
        <v>0</v>
      </c>
      <c r="AA33" s="99">
        <f t="shared" si="12"/>
        <v>0</v>
      </c>
      <c r="AB33" s="99">
        <f t="shared" si="13"/>
        <v>500</v>
      </c>
      <c r="AC33" s="99">
        <f t="shared" si="14"/>
        <v>217.5</v>
      </c>
      <c r="AD33" s="99">
        <f t="shared" si="14"/>
        <v>0</v>
      </c>
      <c r="AE33" s="107"/>
      <c r="AF33" s="82">
        <v>371</v>
      </c>
    </row>
    <row r="34" spans="1:32" s="35" customFormat="1" ht="54" customHeight="1" x14ac:dyDescent="0.3">
      <c r="A34" s="108">
        <v>6</v>
      </c>
      <c r="B34" s="109" t="s">
        <v>231</v>
      </c>
      <c r="C34" s="104" t="s">
        <v>211</v>
      </c>
      <c r="D34" s="105"/>
      <c r="E34" s="106">
        <f t="shared" ref="E34:E36" si="22">F34</f>
        <v>3750</v>
      </c>
      <c r="F34" s="106">
        <v>3750</v>
      </c>
      <c r="G34" s="106">
        <v>1750</v>
      </c>
      <c r="H34" s="99">
        <f t="shared" si="21"/>
        <v>1750</v>
      </c>
      <c r="I34" s="99"/>
      <c r="J34" s="99"/>
      <c r="K34" s="106">
        <f>H34</f>
        <v>1750</v>
      </c>
      <c r="L34" s="106">
        <v>0</v>
      </c>
      <c r="M34" s="34">
        <f t="shared" si="9"/>
        <v>150</v>
      </c>
      <c r="N34" s="99"/>
      <c r="O34" s="99"/>
      <c r="P34" s="99">
        <v>150</v>
      </c>
      <c r="Q34" s="99"/>
      <c r="R34" s="99"/>
      <c r="S34" s="34">
        <f t="shared" si="10"/>
        <v>1681.2719999999999</v>
      </c>
      <c r="T34" s="99"/>
      <c r="U34" s="99"/>
      <c r="V34" s="99"/>
      <c r="W34" s="92">
        <f>1750-68.728</f>
        <v>1681.2719999999999</v>
      </c>
      <c r="X34" s="99"/>
      <c r="Y34" s="34">
        <f t="shared" si="11"/>
        <v>218.72800000000007</v>
      </c>
      <c r="Z34" s="99">
        <f t="shared" si="12"/>
        <v>0</v>
      </c>
      <c r="AA34" s="99">
        <f t="shared" si="12"/>
        <v>0</v>
      </c>
      <c r="AB34" s="99">
        <f t="shared" si="13"/>
        <v>150</v>
      </c>
      <c r="AC34" s="99">
        <f t="shared" si="14"/>
        <v>68.728000000000065</v>
      </c>
      <c r="AD34" s="99">
        <f t="shared" si="14"/>
        <v>0</v>
      </c>
      <c r="AE34" s="110"/>
      <c r="AF34" s="105" t="s">
        <v>232</v>
      </c>
    </row>
    <row r="35" spans="1:32" s="35" customFormat="1" ht="63" customHeight="1" x14ac:dyDescent="0.3">
      <c r="A35" s="108">
        <v>7</v>
      </c>
      <c r="B35" s="109" t="s">
        <v>235</v>
      </c>
      <c r="C35" s="104"/>
      <c r="D35" s="105"/>
      <c r="E35" s="106">
        <f t="shared" si="22"/>
        <v>3547</v>
      </c>
      <c r="F35" s="111">
        <v>3547</v>
      </c>
      <c r="G35" s="110">
        <v>3050.203</v>
      </c>
      <c r="H35" s="99">
        <f>G35</f>
        <v>3050.203</v>
      </c>
      <c r="I35" s="99"/>
      <c r="J35" s="99"/>
      <c r="K35" s="106">
        <f>H35</f>
        <v>3050.203</v>
      </c>
      <c r="L35" s="110">
        <v>0</v>
      </c>
      <c r="M35" s="34">
        <f t="shared" si="9"/>
        <v>2350</v>
      </c>
      <c r="N35" s="99"/>
      <c r="O35" s="99"/>
      <c r="P35" s="99">
        <v>2350</v>
      </c>
      <c r="Q35" s="99"/>
      <c r="R35" s="99"/>
      <c r="S35" s="34">
        <f t="shared" si="10"/>
        <v>2935.5340000000001</v>
      </c>
      <c r="T35" s="99"/>
      <c r="U35" s="99"/>
      <c r="V35" s="99"/>
      <c r="W35" s="92">
        <f>K35-114.669</f>
        <v>2935.5340000000001</v>
      </c>
      <c r="X35" s="99"/>
      <c r="Y35" s="34">
        <f t="shared" si="11"/>
        <v>2464.6689999999999</v>
      </c>
      <c r="Z35" s="99">
        <f t="shared" si="12"/>
        <v>0</v>
      </c>
      <c r="AA35" s="99">
        <f t="shared" si="12"/>
        <v>0</v>
      </c>
      <c r="AB35" s="99">
        <f t="shared" si="13"/>
        <v>2350</v>
      </c>
      <c r="AC35" s="99">
        <f t="shared" si="14"/>
        <v>114.66899999999987</v>
      </c>
      <c r="AD35" s="99">
        <f t="shared" si="14"/>
        <v>0</v>
      </c>
      <c r="AE35" s="110"/>
      <c r="AF35" s="105"/>
    </row>
    <row r="36" spans="1:32" s="35" customFormat="1" ht="63" customHeight="1" x14ac:dyDescent="0.3">
      <c r="A36" s="108">
        <v>8</v>
      </c>
      <c r="B36" s="109" t="s">
        <v>236</v>
      </c>
      <c r="C36" s="104"/>
      <c r="D36" s="105"/>
      <c r="E36" s="106">
        <f t="shared" si="22"/>
        <v>2731</v>
      </c>
      <c r="F36" s="111">
        <v>2731</v>
      </c>
      <c r="G36" s="110">
        <v>2110</v>
      </c>
      <c r="H36" s="99">
        <f t="shared" si="21"/>
        <v>2110</v>
      </c>
      <c r="I36" s="99"/>
      <c r="J36" s="99"/>
      <c r="K36" s="106">
        <f>H36</f>
        <v>2110</v>
      </c>
      <c r="L36" s="110">
        <v>0</v>
      </c>
      <c r="M36" s="34">
        <f t="shared" si="9"/>
        <v>2000</v>
      </c>
      <c r="N36" s="99"/>
      <c r="O36" s="99"/>
      <c r="P36" s="99">
        <v>2000</v>
      </c>
      <c r="Q36" s="99"/>
      <c r="R36" s="99"/>
      <c r="S36" s="34">
        <f t="shared" si="10"/>
        <v>1976.2660000000001</v>
      </c>
      <c r="T36" s="99"/>
      <c r="U36" s="99"/>
      <c r="V36" s="99"/>
      <c r="W36" s="99">
        <f>K36-133.734</f>
        <v>1976.2660000000001</v>
      </c>
      <c r="X36" s="99"/>
      <c r="Y36" s="34">
        <f t="shared" si="11"/>
        <v>2133.7339999999999</v>
      </c>
      <c r="Z36" s="99">
        <f t="shared" si="12"/>
        <v>0</v>
      </c>
      <c r="AA36" s="99">
        <f t="shared" si="12"/>
        <v>0</v>
      </c>
      <c r="AB36" s="99">
        <f t="shared" si="13"/>
        <v>2000</v>
      </c>
      <c r="AC36" s="99">
        <f t="shared" si="14"/>
        <v>133.73399999999992</v>
      </c>
      <c r="AD36" s="99">
        <f t="shared" si="14"/>
        <v>0</v>
      </c>
      <c r="AE36" s="110"/>
      <c r="AF36" s="105"/>
    </row>
    <row r="37" spans="1:32" s="115" customFormat="1" ht="99.75" customHeight="1" x14ac:dyDescent="0.3">
      <c r="A37" s="108">
        <v>9</v>
      </c>
      <c r="B37" s="112" t="s">
        <v>237</v>
      </c>
      <c r="C37" s="104"/>
      <c r="D37" s="105"/>
      <c r="E37" s="113">
        <v>44500</v>
      </c>
      <c r="F37" s="111">
        <f t="shared" ref="F37:F39" si="23">E37</f>
        <v>44500</v>
      </c>
      <c r="G37" s="114"/>
      <c r="H37" s="113">
        <f>K37</f>
        <v>43361</v>
      </c>
      <c r="I37" s="113"/>
      <c r="J37" s="113"/>
      <c r="K37" s="113">
        <v>43361</v>
      </c>
      <c r="L37" s="110"/>
      <c r="M37" s="34">
        <f t="shared" si="9"/>
        <v>4500</v>
      </c>
      <c r="N37" s="99"/>
      <c r="O37" s="99"/>
      <c r="P37" s="99">
        <v>4500</v>
      </c>
      <c r="Q37" s="99"/>
      <c r="R37" s="99"/>
      <c r="S37" s="34">
        <f t="shared" si="10"/>
        <v>4557</v>
      </c>
      <c r="T37" s="99"/>
      <c r="U37" s="99"/>
      <c r="V37" s="99"/>
      <c r="W37" s="92">
        <f>4500+43361-43304</f>
        <v>4557</v>
      </c>
      <c r="X37" s="99"/>
      <c r="Y37" s="34">
        <f t="shared" si="11"/>
        <v>43304</v>
      </c>
      <c r="Z37" s="99">
        <f t="shared" si="12"/>
        <v>0</v>
      </c>
      <c r="AA37" s="99">
        <f t="shared" si="12"/>
        <v>0</v>
      </c>
      <c r="AB37" s="99">
        <f t="shared" si="13"/>
        <v>4500</v>
      </c>
      <c r="AC37" s="99">
        <f t="shared" si="14"/>
        <v>38804</v>
      </c>
      <c r="AD37" s="99">
        <f t="shared" si="14"/>
        <v>0</v>
      </c>
      <c r="AE37" s="110"/>
      <c r="AF37" s="105"/>
    </row>
    <row r="38" spans="1:32" s="115" customFormat="1" ht="57.75" customHeight="1" x14ac:dyDescent="0.3">
      <c r="A38" s="103">
        <v>10</v>
      </c>
      <c r="B38" s="112" t="s">
        <v>241</v>
      </c>
      <c r="C38" s="104"/>
      <c r="D38" s="105"/>
      <c r="E38" s="113">
        <v>1100</v>
      </c>
      <c r="F38" s="111">
        <v>1100</v>
      </c>
      <c r="G38" s="114"/>
      <c r="H38" s="113">
        <f>E38</f>
        <v>1100</v>
      </c>
      <c r="I38" s="113"/>
      <c r="J38" s="113"/>
      <c r="K38" s="111">
        <f>H38</f>
        <v>1100</v>
      </c>
      <c r="L38" s="110"/>
      <c r="M38" s="34">
        <f t="shared" si="9"/>
        <v>0</v>
      </c>
      <c r="N38" s="99"/>
      <c r="O38" s="99"/>
      <c r="P38" s="99"/>
      <c r="Q38" s="99"/>
      <c r="R38" s="99"/>
      <c r="S38" s="34">
        <f t="shared" si="10"/>
        <v>1100</v>
      </c>
      <c r="T38" s="99"/>
      <c r="U38" s="99"/>
      <c r="V38" s="99"/>
      <c r="W38" s="99">
        <v>1100</v>
      </c>
      <c r="X38" s="99"/>
      <c r="Y38" s="34">
        <f t="shared" si="11"/>
        <v>0</v>
      </c>
      <c r="Z38" s="99">
        <f t="shared" si="12"/>
        <v>0</v>
      </c>
      <c r="AA38" s="99">
        <f t="shared" si="12"/>
        <v>0</v>
      </c>
      <c r="AB38" s="99">
        <f t="shared" si="13"/>
        <v>0</v>
      </c>
      <c r="AC38" s="99">
        <f t="shared" si="14"/>
        <v>0</v>
      </c>
      <c r="AD38" s="99">
        <f t="shared" si="14"/>
        <v>0</v>
      </c>
      <c r="AE38" s="110"/>
      <c r="AF38" s="105"/>
    </row>
    <row r="39" spans="1:32" s="115" customFormat="1" ht="64.5" customHeight="1" x14ac:dyDescent="0.3">
      <c r="A39" s="108">
        <v>11</v>
      </c>
      <c r="B39" s="79" t="s">
        <v>240</v>
      </c>
      <c r="C39" s="104"/>
      <c r="D39" s="105"/>
      <c r="E39" s="116">
        <v>5750</v>
      </c>
      <c r="F39" s="111">
        <f t="shared" si="23"/>
        <v>5750</v>
      </c>
      <c r="G39" s="114"/>
      <c r="H39" s="113">
        <f>E39</f>
        <v>5750</v>
      </c>
      <c r="I39" s="113"/>
      <c r="J39" s="113"/>
      <c r="K39" s="111">
        <v>5750</v>
      </c>
      <c r="L39" s="110"/>
      <c r="M39" s="34">
        <f t="shared" si="9"/>
        <v>0</v>
      </c>
      <c r="N39" s="99"/>
      <c r="O39" s="99"/>
      <c r="P39" s="99"/>
      <c r="Q39" s="99"/>
      <c r="R39" s="99"/>
      <c r="S39" s="34">
        <f t="shared" si="10"/>
        <v>5750</v>
      </c>
      <c r="T39" s="99"/>
      <c r="U39" s="99"/>
      <c r="V39" s="99"/>
      <c r="W39" s="99">
        <v>5750</v>
      </c>
      <c r="X39" s="99"/>
      <c r="Y39" s="34">
        <f t="shared" si="11"/>
        <v>0</v>
      </c>
      <c r="Z39" s="99">
        <f t="shared" si="12"/>
        <v>0</v>
      </c>
      <c r="AA39" s="99">
        <f t="shared" si="12"/>
        <v>0</v>
      </c>
      <c r="AB39" s="99">
        <f t="shared" si="13"/>
        <v>0</v>
      </c>
      <c r="AC39" s="99">
        <f t="shared" si="14"/>
        <v>0</v>
      </c>
      <c r="AD39" s="99">
        <f t="shared" si="14"/>
        <v>0</v>
      </c>
      <c r="AE39" s="110"/>
      <c r="AF39" s="105"/>
    </row>
    <row r="40" spans="1:32" s="115" customFormat="1" ht="54" x14ac:dyDescent="0.35">
      <c r="A40" s="108">
        <v>12</v>
      </c>
      <c r="B40" s="117" t="s">
        <v>243</v>
      </c>
      <c r="C40" s="104"/>
      <c r="D40" s="105"/>
      <c r="E40" s="114">
        <f>F40</f>
        <v>5000</v>
      </c>
      <c r="F40" s="111">
        <v>5000</v>
      </c>
      <c r="G40" s="114">
        <v>0</v>
      </c>
      <c r="H40" s="113">
        <f>K40</f>
        <v>5000</v>
      </c>
      <c r="I40" s="113"/>
      <c r="J40" s="113"/>
      <c r="K40" s="110">
        <v>5000</v>
      </c>
      <c r="L40" s="110"/>
      <c r="M40" s="34">
        <f t="shared" si="9"/>
        <v>0</v>
      </c>
      <c r="N40" s="99"/>
      <c r="O40" s="99"/>
      <c r="P40" s="99"/>
      <c r="Q40" s="99"/>
      <c r="R40" s="99"/>
      <c r="S40" s="34">
        <f t="shared" si="10"/>
        <v>5000</v>
      </c>
      <c r="T40" s="99"/>
      <c r="U40" s="99"/>
      <c r="V40" s="99"/>
      <c r="W40" s="99">
        <v>5000</v>
      </c>
      <c r="X40" s="99"/>
      <c r="Y40" s="34">
        <f t="shared" si="11"/>
        <v>0</v>
      </c>
      <c r="Z40" s="99">
        <f t="shared" si="12"/>
        <v>0</v>
      </c>
      <c r="AA40" s="99">
        <f t="shared" si="12"/>
        <v>0</v>
      </c>
      <c r="AB40" s="99">
        <f t="shared" si="13"/>
        <v>0</v>
      </c>
      <c r="AC40" s="99">
        <f t="shared" si="14"/>
        <v>0</v>
      </c>
      <c r="AD40" s="99">
        <f t="shared" si="14"/>
        <v>0</v>
      </c>
      <c r="AE40" s="110"/>
      <c r="AF40" s="105"/>
    </row>
    <row r="41" spans="1:32" s="115" customFormat="1" ht="44.25" customHeight="1" x14ac:dyDescent="0.3">
      <c r="A41" s="108">
        <v>13</v>
      </c>
      <c r="B41" s="79" t="s">
        <v>244</v>
      </c>
      <c r="C41" s="104"/>
      <c r="D41" s="105"/>
      <c r="E41" s="114">
        <f>F41</f>
        <v>496.79700000000003</v>
      </c>
      <c r="F41" s="114">
        <v>496.79700000000003</v>
      </c>
      <c r="G41" s="114"/>
      <c r="H41" s="113">
        <f>K41</f>
        <v>496.79700000000003</v>
      </c>
      <c r="I41" s="113"/>
      <c r="J41" s="113"/>
      <c r="K41" s="110">
        <f>F41</f>
        <v>496.79700000000003</v>
      </c>
      <c r="L41" s="110"/>
      <c r="M41" s="34">
        <f t="shared" si="9"/>
        <v>450</v>
      </c>
      <c r="N41" s="99"/>
      <c r="O41" s="99"/>
      <c r="P41" s="99">
        <v>450</v>
      </c>
      <c r="Q41" s="99"/>
      <c r="R41" s="99"/>
      <c r="S41" s="34">
        <f t="shared" si="10"/>
        <v>450</v>
      </c>
      <c r="T41" s="99"/>
      <c r="U41" s="99"/>
      <c r="V41" s="99"/>
      <c r="W41" s="99">
        <v>450</v>
      </c>
      <c r="X41" s="99"/>
      <c r="Y41" s="34">
        <f t="shared" si="11"/>
        <v>496.79700000000003</v>
      </c>
      <c r="Z41" s="99">
        <f t="shared" si="12"/>
        <v>0</v>
      </c>
      <c r="AA41" s="99">
        <f t="shared" si="12"/>
        <v>0</v>
      </c>
      <c r="AB41" s="99">
        <f t="shared" si="13"/>
        <v>450</v>
      </c>
      <c r="AC41" s="99">
        <f t="shared" si="14"/>
        <v>46.797000000000025</v>
      </c>
      <c r="AD41" s="99">
        <f t="shared" si="14"/>
        <v>0</v>
      </c>
      <c r="AE41" s="110"/>
      <c r="AF41" s="105"/>
    </row>
    <row r="42" spans="1:32" s="85" customFormat="1" ht="38.25" customHeight="1" x14ac:dyDescent="0.3">
      <c r="A42" s="80" t="s">
        <v>256</v>
      </c>
      <c r="B42" s="81" t="s">
        <v>257</v>
      </c>
      <c r="C42" s="81"/>
      <c r="D42" s="82"/>
      <c r="E42" s="83"/>
      <c r="F42" s="83"/>
      <c r="G42" s="83"/>
      <c r="H42" s="84"/>
      <c r="I42" s="84"/>
      <c r="J42" s="84"/>
      <c r="K42" s="84"/>
      <c r="L42" s="84"/>
      <c r="M42" s="34">
        <f t="shared" si="9"/>
        <v>51109</v>
      </c>
      <c r="N42" s="84"/>
      <c r="O42" s="84"/>
      <c r="P42" s="84"/>
      <c r="Q42" s="84">
        <f>160327-109010-208</f>
        <v>51109</v>
      </c>
      <c r="R42" s="84"/>
      <c r="S42" s="34">
        <f t="shared" si="10"/>
        <v>0</v>
      </c>
      <c r="T42" s="84"/>
      <c r="U42" s="84"/>
      <c r="V42" s="84"/>
      <c r="W42" s="84"/>
      <c r="X42" s="84"/>
      <c r="Y42" s="34">
        <f t="shared" si="11"/>
        <v>51109</v>
      </c>
      <c r="Z42" s="84"/>
      <c r="AA42" s="84"/>
      <c r="AB42" s="84"/>
      <c r="AC42" s="14">
        <f>Q42</f>
        <v>51109</v>
      </c>
      <c r="AD42" s="84"/>
      <c r="AE42" s="84"/>
      <c r="AF42" s="82"/>
    </row>
  </sheetData>
  <autoFilter ref="A8:FQ42"/>
  <mergeCells count="44">
    <mergeCell ref="A1:AE1"/>
    <mergeCell ref="A2:AE2"/>
    <mergeCell ref="A3:F3"/>
    <mergeCell ref="C4:C6"/>
    <mergeCell ref="D4:D7"/>
    <mergeCell ref="E4:F4"/>
    <mergeCell ref="G4:G7"/>
    <mergeCell ref="H4:L4"/>
    <mergeCell ref="A4:A7"/>
    <mergeCell ref="B4:B7"/>
    <mergeCell ref="E5:E7"/>
    <mergeCell ref="F5:F7"/>
    <mergeCell ref="H5:H7"/>
    <mergeCell ref="I5:L5"/>
    <mergeCell ref="M5:M7"/>
    <mergeCell ref="M4:R4"/>
    <mergeCell ref="S4:X4"/>
    <mergeCell ref="Y4:AD4"/>
    <mergeCell ref="AE4:AE7"/>
    <mergeCell ref="AF4:AF6"/>
    <mergeCell ref="Z5:AD5"/>
    <mergeCell ref="U6:U7"/>
    <mergeCell ref="AC6:AC7"/>
    <mergeCell ref="AD6:AD7"/>
    <mergeCell ref="Z6:Z7"/>
    <mergeCell ref="AA6:AA7"/>
    <mergeCell ref="AB6:AB7"/>
    <mergeCell ref="I6:I7"/>
    <mergeCell ref="J6:J7"/>
    <mergeCell ref="K6:K7"/>
    <mergeCell ref="L6:L7"/>
    <mergeCell ref="N6:N7"/>
    <mergeCell ref="N5:R5"/>
    <mergeCell ref="S5:S7"/>
    <mergeCell ref="T5:X5"/>
    <mergeCell ref="Y5:Y7"/>
    <mergeCell ref="O6:O7"/>
    <mergeCell ref="P6:P7"/>
    <mergeCell ref="Q6:Q7"/>
    <mergeCell ref="R6:R7"/>
    <mergeCell ref="T6:T7"/>
    <mergeCell ref="V6:V7"/>
    <mergeCell ref="W6:W7"/>
    <mergeCell ref="X6:X7"/>
  </mergeCells>
  <phoneticPr fontId="29" type="noConversion"/>
  <pageMargins left="0.23622047244094491" right="0.15748031496062992" top="0.35433070866141736" bottom="0.47244094488188981"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133"/>
  <sheetViews>
    <sheetView tabSelected="1" topLeftCell="A67" zoomScale="70" zoomScaleNormal="70" workbookViewId="0">
      <selection activeCell="A3" sqref="A3:F3"/>
    </sheetView>
  </sheetViews>
  <sheetFormatPr defaultColWidth="11.6328125" defaultRowHeight="15.6" x14ac:dyDescent="0.3"/>
  <cols>
    <col min="1" max="1" width="6.1796875" style="86" customWidth="1"/>
    <col min="2" max="2" width="51.08984375" style="87" customWidth="1"/>
    <col min="3" max="3" width="11.08984375" style="87" hidden="1" customWidth="1"/>
    <col min="4" max="4" width="12.54296875" style="28" hidden="1" customWidth="1"/>
    <col min="5" max="5" width="9" style="29" customWidth="1"/>
    <col min="6" max="6" width="8.1796875" style="29" customWidth="1"/>
    <col min="7" max="7" width="9.6328125" style="29" customWidth="1"/>
    <col min="8" max="8" width="11.08984375" style="30" customWidth="1"/>
    <col min="9" max="9" width="7.54296875" style="30" customWidth="1"/>
    <col min="10" max="10" width="7.08984375" style="30" customWidth="1"/>
    <col min="11" max="11" width="9.36328125" style="30" customWidth="1"/>
    <col min="12" max="12" width="8" style="30" customWidth="1"/>
    <col min="13" max="13" width="8.1796875" style="35" customWidth="1"/>
    <col min="14" max="14" width="6.1796875" style="30" customWidth="1"/>
    <col min="15" max="15" width="6.453125" style="30" customWidth="1"/>
    <col min="16" max="16" width="9.36328125" style="30" customWidth="1"/>
    <col min="17" max="17" width="8.453125" style="30" customWidth="1"/>
    <col min="18" max="18" width="7.08984375" style="30" customWidth="1"/>
    <col min="19" max="19" width="6.81640625" style="35" customWidth="1"/>
    <col min="20" max="20" width="7.1796875" style="30" customWidth="1"/>
    <col min="21" max="21" width="6.90625" style="30" customWidth="1"/>
    <col min="22" max="23" width="9.36328125" style="30" customWidth="1"/>
    <col min="24" max="24" width="7.36328125" style="30" customWidth="1"/>
    <col min="25" max="25" width="8.1796875" style="35" customWidth="1"/>
    <col min="26" max="26" width="6.54296875" style="30" customWidth="1"/>
    <col min="27" max="27" width="6.453125" style="30" customWidth="1"/>
    <col min="28" max="29" width="9.36328125" style="30" customWidth="1"/>
    <col min="30" max="30" width="7.54296875" style="30" customWidth="1"/>
    <col min="31" max="31" width="8" style="30" customWidth="1"/>
    <col min="32" max="32" width="13.81640625" style="28" hidden="1" customWidth="1"/>
    <col min="33" max="33" width="11.6328125" style="3"/>
    <col min="34" max="34" width="11.6328125" style="3" hidden="1" customWidth="1"/>
    <col min="35" max="174" width="11.6328125" style="3"/>
    <col min="175" max="175" width="6.6328125" style="3" customWidth="1"/>
    <col min="176" max="176" width="65.1796875" style="3" customWidth="1"/>
    <col min="177" max="16384" width="11.6328125" style="3"/>
  </cols>
  <sheetData>
    <row r="1" spans="1:35" s="37" customFormat="1" ht="27" customHeight="1" x14ac:dyDescent="0.3">
      <c r="A1" s="131" t="s">
        <v>264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36"/>
    </row>
    <row r="2" spans="1:35" s="37" customFormat="1" ht="30.75" customHeight="1" x14ac:dyDescent="0.3">
      <c r="A2" s="132" t="str">
        <f>'pl1'!A2:AE2</f>
        <v>(Kèm theo Nghị Quyết số       /NQ-HĐND ngày 25/3/2026 của HĐND xã Hoằng Phú)</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row>
    <row r="3" spans="1:35" ht="16.2" customHeight="1" x14ac:dyDescent="0.3">
      <c r="A3" s="133"/>
      <c r="B3" s="133"/>
      <c r="C3" s="133"/>
      <c r="D3" s="133"/>
      <c r="E3" s="133"/>
      <c r="F3" s="133"/>
      <c r="G3" s="38"/>
      <c r="H3" s="1"/>
      <c r="I3" s="1"/>
      <c r="J3" s="1"/>
      <c r="K3" s="1"/>
      <c r="L3" s="1"/>
      <c r="M3" s="33"/>
      <c r="N3" s="1"/>
      <c r="O3" s="1"/>
      <c r="P3" s="1"/>
      <c r="Q3" s="1"/>
      <c r="R3" s="1"/>
      <c r="S3" s="33"/>
      <c r="T3" s="1"/>
      <c r="U3" s="1"/>
      <c r="V3" s="1"/>
      <c r="W3" s="1"/>
      <c r="X3" s="1"/>
      <c r="Y3" s="33"/>
      <c r="Z3" s="1"/>
      <c r="AA3" s="1"/>
      <c r="AB3" s="1" t="s">
        <v>262</v>
      </c>
      <c r="AC3" s="1"/>
      <c r="AD3" s="1"/>
      <c r="AE3" s="2"/>
      <c r="AF3" s="1"/>
    </row>
    <row r="4" spans="1:35" s="39" customFormat="1" ht="15.75" customHeight="1" x14ac:dyDescent="0.3">
      <c r="A4" s="134" t="s">
        <v>0</v>
      </c>
      <c r="B4" s="127" t="s">
        <v>1</v>
      </c>
      <c r="C4" s="130" t="s">
        <v>2</v>
      </c>
      <c r="D4" s="130" t="s">
        <v>3</v>
      </c>
      <c r="E4" s="126" t="s">
        <v>4</v>
      </c>
      <c r="F4" s="126"/>
      <c r="G4" s="126" t="s">
        <v>5</v>
      </c>
      <c r="H4" s="126" t="s">
        <v>250</v>
      </c>
      <c r="I4" s="126"/>
      <c r="J4" s="126"/>
      <c r="K4" s="126"/>
      <c r="L4" s="126"/>
      <c r="M4" s="120" t="s">
        <v>249</v>
      </c>
      <c r="N4" s="121"/>
      <c r="O4" s="121"/>
      <c r="P4" s="121"/>
      <c r="Q4" s="121"/>
      <c r="R4" s="122"/>
      <c r="S4" s="120" t="s">
        <v>251</v>
      </c>
      <c r="T4" s="121"/>
      <c r="U4" s="121"/>
      <c r="V4" s="121"/>
      <c r="W4" s="121"/>
      <c r="X4" s="122"/>
      <c r="Y4" s="120" t="s">
        <v>252</v>
      </c>
      <c r="Z4" s="121"/>
      <c r="AA4" s="121"/>
      <c r="AB4" s="121"/>
      <c r="AC4" s="121"/>
      <c r="AD4" s="122"/>
      <c r="AE4" s="127" t="s">
        <v>6</v>
      </c>
      <c r="AF4" s="130" t="s">
        <v>255</v>
      </c>
    </row>
    <row r="5" spans="1:35" s="39" customFormat="1" ht="15.75" customHeight="1" x14ac:dyDescent="0.3">
      <c r="A5" s="135"/>
      <c r="B5" s="128"/>
      <c r="C5" s="130"/>
      <c r="D5" s="130"/>
      <c r="E5" s="126" t="s">
        <v>7</v>
      </c>
      <c r="F5" s="126" t="s">
        <v>8</v>
      </c>
      <c r="G5" s="126"/>
      <c r="H5" s="126" t="s">
        <v>7</v>
      </c>
      <c r="I5" s="137" t="s">
        <v>9</v>
      </c>
      <c r="J5" s="138"/>
      <c r="K5" s="138"/>
      <c r="L5" s="139"/>
      <c r="M5" s="123" t="s">
        <v>245</v>
      </c>
      <c r="N5" s="120" t="s">
        <v>9</v>
      </c>
      <c r="O5" s="121"/>
      <c r="P5" s="121"/>
      <c r="Q5" s="121"/>
      <c r="R5" s="122"/>
      <c r="S5" s="123" t="s">
        <v>245</v>
      </c>
      <c r="T5" s="120" t="s">
        <v>9</v>
      </c>
      <c r="U5" s="121"/>
      <c r="V5" s="121"/>
      <c r="W5" s="121"/>
      <c r="X5" s="122"/>
      <c r="Y5" s="123" t="s">
        <v>245</v>
      </c>
      <c r="Z5" s="120" t="s">
        <v>9</v>
      </c>
      <c r="AA5" s="121"/>
      <c r="AB5" s="121"/>
      <c r="AC5" s="121"/>
      <c r="AD5" s="122"/>
      <c r="AE5" s="128"/>
      <c r="AF5" s="130"/>
    </row>
    <row r="6" spans="1:35" s="39" customFormat="1" ht="15.75" customHeight="1" x14ac:dyDescent="0.3">
      <c r="A6" s="135"/>
      <c r="B6" s="128"/>
      <c r="C6" s="130"/>
      <c r="D6" s="130"/>
      <c r="E6" s="126"/>
      <c r="F6" s="126"/>
      <c r="G6" s="126"/>
      <c r="H6" s="126"/>
      <c r="I6" s="123" t="s">
        <v>254</v>
      </c>
      <c r="J6" s="123" t="s">
        <v>246</v>
      </c>
      <c r="K6" s="126" t="s">
        <v>253</v>
      </c>
      <c r="L6" s="126" t="s">
        <v>10</v>
      </c>
      <c r="M6" s="123"/>
      <c r="N6" s="123" t="s">
        <v>254</v>
      </c>
      <c r="O6" s="123" t="s">
        <v>246</v>
      </c>
      <c r="P6" s="124" t="s">
        <v>258</v>
      </c>
      <c r="Q6" s="123" t="s">
        <v>248</v>
      </c>
      <c r="R6" s="126" t="s">
        <v>10</v>
      </c>
      <c r="S6" s="123"/>
      <c r="T6" s="123" t="s">
        <v>254</v>
      </c>
      <c r="U6" s="123" t="s">
        <v>246</v>
      </c>
      <c r="V6" s="124" t="s">
        <v>259</v>
      </c>
      <c r="W6" s="123" t="s">
        <v>248</v>
      </c>
      <c r="X6" s="126" t="s">
        <v>10</v>
      </c>
      <c r="Y6" s="123"/>
      <c r="Z6" s="123" t="s">
        <v>254</v>
      </c>
      <c r="AA6" s="123" t="s">
        <v>246</v>
      </c>
      <c r="AB6" s="124" t="s">
        <v>247</v>
      </c>
      <c r="AC6" s="123" t="s">
        <v>248</v>
      </c>
      <c r="AD6" s="126" t="s">
        <v>10</v>
      </c>
      <c r="AE6" s="128"/>
      <c r="AF6" s="130"/>
    </row>
    <row r="7" spans="1:35" s="39" customFormat="1" ht="58.5" customHeight="1" x14ac:dyDescent="0.3">
      <c r="A7" s="136"/>
      <c r="B7" s="129"/>
      <c r="C7" s="40"/>
      <c r="D7" s="130"/>
      <c r="E7" s="126"/>
      <c r="F7" s="126"/>
      <c r="G7" s="126"/>
      <c r="H7" s="126"/>
      <c r="I7" s="123"/>
      <c r="J7" s="123"/>
      <c r="K7" s="126"/>
      <c r="L7" s="126"/>
      <c r="M7" s="123"/>
      <c r="N7" s="123"/>
      <c r="O7" s="123"/>
      <c r="P7" s="125"/>
      <c r="Q7" s="123"/>
      <c r="R7" s="126"/>
      <c r="S7" s="123"/>
      <c r="T7" s="123"/>
      <c r="U7" s="123"/>
      <c r="V7" s="125"/>
      <c r="W7" s="123"/>
      <c r="X7" s="126"/>
      <c r="Y7" s="123"/>
      <c r="Z7" s="123"/>
      <c r="AA7" s="123"/>
      <c r="AB7" s="125"/>
      <c r="AC7" s="123"/>
      <c r="AD7" s="126"/>
      <c r="AE7" s="129"/>
      <c r="AF7" s="40"/>
    </row>
    <row r="8" spans="1:35" s="39" customFormat="1" ht="12.75" customHeight="1" x14ac:dyDescent="0.3">
      <c r="A8" s="93"/>
      <c r="B8" s="91"/>
      <c r="C8" s="40"/>
      <c r="D8" s="40"/>
      <c r="E8" s="89"/>
      <c r="F8" s="89"/>
      <c r="G8" s="89"/>
      <c r="H8" s="89"/>
      <c r="I8" s="88"/>
      <c r="J8" s="88"/>
      <c r="K8" s="89"/>
      <c r="L8" s="89"/>
      <c r="M8" s="88"/>
      <c r="N8" s="88"/>
      <c r="O8" s="88"/>
      <c r="P8" s="90"/>
      <c r="Q8" s="88"/>
      <c r="R8" s="89"/>
      <c r="S8" s="88"/>
      <c r="T8" s="88"/>
      <c r="U8" s="88"/>
      <c r="V8" s="90"/>
      <c r="W8" s="88"/>
      <c r="X8" s="89"/>
      <c r="Y8" s="88"/>
      <c r="Z8" s="88"/>
      <c r="AA8" s="88"/>
      <c r="AB8" s="90"/>
      <c r="AC8" s="88"/>
      <c r="AD8" s="89"/>
      <c r="AE8" s="91"/>
      <c r="AF8" s="40"/>
    </row>
    <row r="9" spans="1:35" s="43" customFormat="1" ht="27" customHeight="1" x14ac:dyDescent="0.3">
      <c r="A9" s="41"/>
      <c r="B9" s="42" t="s">
        <v>24</v>
      </c>
      <c r="C9" s="42"/>
      <c r="D9" s="4"/>
      <c r="E9" s="5">
        <f t="shared" ref="E9:AD9" si="0">E10+E87+E115+E133</f>
        <v>405315.40247700003</v>
      </c>
      <c r="F9" s="5">
        <f t="shared" si="0"/>
        <v>384831.81247700006</v>
      </c>
      <c r="G9" s="5">
        <f t="shared" si="0"/>
        <v>57465.435591000001</v>
      </c>
      <c r="H9" s="5">
        <f t="shared" si="0"/>
        <v>163226.66759100003</v>
      </c>
      <c r="I9" s="5">
        <f t="shared" si="0"/>
        <v>0</v>
      </c>
      <c r="J9" s="5">
        <f t="shared" si="0"/>
        <v>2000</v>
      </c>
      <c r="K9" s="5">
        <f t="shared" si="0"/>
        <v>160326.66759100003</v>
      </c>
      <c r="L9" s="5">
        <f t="shared" si="0"/>
        <v>900</v>
      </c>
      <c r="M9" s="5">
        <f t="shared" si="0"/>
        <v>71272.392999999996</v>
      </c>
      <c r="N9" s="5">
        <f t="shared" si="0"/>
        <v>0</v>
      </c>
      <c r="O9" s="5">
        <f t="shared" si="0"/>
        <v>0</v>
      </c>
      <c r="P9" s="5">
        <f t="shared" si="0"/>
        <v>19531.393</v>
      </c>
      <c r="Q9" s="5">
        <f t="shared" si="0"/>
        <v>51741</v>
      </c>
      <c r="R9" s="5">
        <f t="shared" si="0"/>
        <v>0</v>
      </c>
      <c r="S9" s="5">
        <f t="shared" si="0"/>
        <v>54640.99</v>
      </c>
      <c r="T9" s="5">
        <f t="shared" si="0"/>
        <v>0</v>
      </c>
      <c r="U9" s="5">
        <f t="shared" si="0"/>
        <v>2000</v>
      </c>
      <c r="V9" s="5">
        <f t="shared" si="0"/>
        <v>0</v>
      </c>
      <c r="W9" s="5">
        <f t="shared" si="0"/>
        <v>51740.99</v>
      </c>
      <c r="X9" s="5">
        <f t="shared" si="0"/>
        <v>900</v>
      </c>
      <c r="Y9" s="5">
        <f t="shared" si="0"/>
        <v>179858.070591</v>
      </c>
      <c r="Z9" s="5">
        <f t="shared" si="0"/>
        <v>0</v>
      </c>
      <c r="AA9" s="5">
        <f t="shared" si="0"/>
        <v>0</v>
      </c>
      <c r="AB9" s="5">
        <f t="shared" si="0"/>
        <v>19531.393</v>
      </c>
      <c r="AC9" s="5">
        <f t="shared" si="0"/>
        <v>160326.67759099999</v>
      </c>
      <c r="AD9" s="5">
        <f t="shared" si="0"/>
        <v>0</v>
      </c>
      <c r="AE9" s="6"/>
      <c r="AF9" s="7"/>
      <c r="AG9" s="43">
        <v>160327</v>
      </c>
      <c r="AH9" s="43">
        <f>AG9-K9</f>
        <v>0.33240899996599182</v>
      </c>
      <c r="AI9" s="43">
        <f>AC9-AG9</f>
        <v>-0.32240900001488626</v>
      </c>
    </row>
    <row r="10" spans="1:35" s="46" customFormat="1" ht="23.25" customHeight="1" x14ac:dyDescent="0.3">
      <c r="A10" s="44" t="s">
        <v>25</v>
      </c>
      <c r="B10" s="45" t="s">
        <v>26</v>
      </c>
      <c r="C10" s="45"/>
      <c r="D10" s="8"/>
      <c r="E10" s="9">
        <f t="shared" ref="E10:AD10" si="1">SUM(E11:E86)</f>
        <v>164941.32559999998</v>
      </c>
      <c r="F10" s="9">
        <f t="shared" si="1"/>
        <v>148057.43560000003</v>
      </c>
      <c r="G10" s="9">
        <f t="shared" si="1"/>
        <v>10587.406575000003</v>
      </c>
      <c r="H10" s="9">
        <f t="shared" si="1"/>
        <v>10565.406575000003</v>
      </c>
      <c r="I10" s="9">
        <f t="shared" si="1"/>
        <v>0</v>
      </c>
      <c r="J10" s="9">
        <f t="shared" si="1"/>
        <v>0</v>
      </c>
      <c r="K10" s="9">
        <f t="shared" si="1"/>
        <v>10565.406575000003</v>
      </c>
      <c r="L10" s="9">
        <f t="shared" si="1"/>
        <v>0</v>
      </c>
      <c r="M10" s="9">
        <f t="shared" si="1"/>
        <v>381.39300000000003</v>
      </c>
      <c r="N10" s="9">
        <f t="shared" si="1"/>
        <v>0</v>
      </c>
      <c r="O10" s="9">
        <f t="shared" si="1"/>
        <v>0</v>
      </c>
      <c r="P10" s="9">
        <f t="shared" si="1"/>
        <v>381.39300000000003</v>
      </c>
      <c r="Q10" s="9">
        <f t="shared" si="1"/>
        <v>0</v>
      </c>
      <c r="R10" s="9">
        <f t="shared" si="1"/>
        <v>0</v>
      </c>
      <c r="S10" s="9">
        <f t="shared" si="1"/>
        <v>1955.6000000000004</v>
      </c>
      <c r="T10" s="9">
        <f t="shared" si="1"/>
        <v>0</v>
      </c>
      <c r="U10" s="9">
        <f t="shared" si="1"/>
        <v>0</v>
      </c>
      <c r="V10" s="9">
        <f t="shared" si="1"/>
        <v>0</v>
      </c>
      <c r="W10" s="9">
        <f t="shared" si="1"/>
        <v>1955.6000000000004</v>
      </c>
      <c r="X10" s="9">
        <f t="shared" si="1"/>
        <v>0</v>
      </c>
      <c r="Y10" s="9">
        <f t="shared" si="1"/>
        <v>8991.1995750000024</v>
      </c>
      <c r="Z10" s="9">
        <f t="shared" si="1"/>
        <v>0</v>
      </c>
      <c r="AA10" s="9">
        <f t="shared" si="1"/>
        <v>0</v>
      </c>
      <c r="AB10" s="9">
        <f t="shared" si="1"/>
        <v>381.39300000000003</v>
      </c>
      <c r="AC10" s="9">
        <f t="shared" si="1"/>
        <v>8609.8065750000023</v>
      </c>
      <c r="AD10" s="9">
        <f t="shared" si="1"/>
        <v>0</v>
      </c>
      <c r="AE10" s="10">
        <f>SUM(AE11:AE114)</f>
        <v>0</v>
      </c>
      <c r="AF10" s="11"/>
    </row>
    <row r="11" spans="1:35" s="36" customFormat="1" ht="25.5" customHeight="1" x14ac:dyDescent="0.3">
      <c r="A11" s="47"/>
      <c r="B11" s="48" t="s">
        <v>27</v>
      </c>
      <c r="C11" s="48"/>
      <c r="D11" s="12"/>
      <c r="E11" s="13"/>
      <c r="F11" s="13"/>
      <c r="G11" s="13"/>
      <c r="H11" s="14">
        <v>0</v>
      </c>
      <c r="I11" s="14"/>
      <c r="J11" s="14"/>
      <c r="K11" s="13">
        <v>0</v>
      </c>
      <c r="L11" s="13">
        <v>0</v>
      </c>
      <c r="M11" s="34"/>
      <c r="N11" s="13"/>
      <c r="O11" s="13"/>
      <c r="P11" s="13"/>
      <c r="Q11" s="13"/>
      <c r="R11" s="13"/>
      <c r="S11" s="34"/>
      <c r="T11" s="13"/>
      <c r="U11" s="13"/>
      <c r="V11" s="13"/>
      <c r="W11" s="13"/>
      <c r="X11" s="13"/>
      <c r="Y11" s="34"/>
      <c r="Z11" s="13"/>
      <c r="AA11" s="13"/>
      <c r="AB11" s="13"/>
      <c r="AC11" s="13"/>
      <c r="AD11" s="13"/>
      <c r="AE11" s="15"/>
      <c r="AF11" s="16"/>
    </row>
    <row r="12" spans="1:35" s="36" customFormat="1" ht="50.25" customHeight="1" x14ac:dyDescent="0.3">
      <c r="A12" s="49" t="s">
        <v>11</v>
      </c>
      <c r="B12" s="50" t="s">
        <v>28</v>
      </c>
      <c r="C12" s="51" t="s">
        <v>29</v>
      </c>
      <c r="D12" s="52" t="s">
        <v>30</v>
      </c>
      <c r="E12" s="14">
        <v>4828.8119999999999</v>
      </c>
      <c r="F12" s="14">
        <v>4828.8119999999999</v>
      </c>
      <c r="G12" s="14">
        <v>95.316000000000145</v>
      </c>
      <c r="H12" s="14">
        <v>95.316000000000145</v>
      </c>
      <c r="I12" s="14"/>
      <c r="J12" s="14"/>
      <c r="K12" s="14">
        <v>95.316000000000145</v>
      </c>
      <c r="L12" s="14">
        <v>0</v>
      </c>
      <c r="M12" s="34">
        <f>SUM(N12:R12)</f>
        <v>0</v>
      </c>
      <c r="N12" s="14"/>
      <c r="O12" s="14"/>
      <c r="P12" s="14"/>
      <c r="Q12" s="14"/>
      <c r="R12" s="14"/>
      <c r="S12" s="34">
        <f>SUM(T12:X12)</f>
        <v>0</v>
      </c>
      <c r="T12" s="14"/>
      <c r="U12" s="14"/>
      <c r="V12" s="14"/>
      <c r="W12" s="14"/>
      <c r="X12" s="14"/>
      <c r="Y12" s="34">
        <f>SUM(Z12:AD12)</f>
        <v>95.316000000000145</v>
      </c>
      <c r="Z12" s="14">
        <f>I12+N12-T12</f>
        <v>0</v>
      </c>
      <c r="AA12" s="14">
        <f>J12+O12-U12</f>
        <v>0</v>
      </c>
      <c r="AB12" s="14">
        <f>P12-V12</f>
        <v>0</v>
      </c>
      <c r="AC12" s="14">
        <f>K12+Q12-W12</f>
        <v>95.316000000000145</v>
      </c>
      <c r="AD12" s="14">
        <f>L12+R12-X12</f>
        <v>0</v>
      </c>
      <c r="AE12" s="17"/>
      <c r="AF12" s="16" t="s">
        <v>31</v>
      </c>
      <c r="AH12" s="36">
        <f t="shared" ref="AH12:AH32" si="2">G12-H12</f>
        <v>0</v>
      </c>
    </row>
    <row r="13" spans="1:35" s="36" customFormat="1" ht="53.25" customHeight="1" x14ac:dyDescent="0.3">
      <c r="A13" s="49" t="s">
        <v>12</v>
      </c>
      <c r="B13" s="53" t="s">
        <v>32</v>
      </c>
      <c r="C13" s="51" t="s">
        <v>29</v>
      </c>
      <c r="D13" s="52" t="s">
        <v>33</v>
      </c>
      <c r="E13" s="14">
        <v>6000.991</v>
      </c>
      <c r="F13" s="14">
        <v>6000.991</v>
      </c>
      <c r="G13" s="14">
        <v>112.18044999999999</v>
      </c>
      <c r="H13" s="14">
        <v>112.18044999999999</v>
      </c>
      <c r="I13" s="14"/>
      <c r="J13" s="14"/>
      <c r="K13" s="14">
        <v>112.18044999999999</v>
      </c>
      <c r="L13" s="14">
        <v>0</v>
      </c>
      <c r="M13" s="34">
        <f t="shared" ref="M13:M73" si="3">SUM(N13:R13)</f>
        <v>0</v>
      </c>
      <c r="N13" s="14"/>
      <c r="O13" s="14"/>
      <c r="P13" s="14"/>
      <c r="Q13" s="14"/>
      <c r="R13" s="14"/>
      <c r="S13" s="34">
        <f t="shared" ref="S13:S73" si="4">SUM(T13:X13)</f>
        <v>0</v>
      </c>
      <c r="T13" s="14"/>
      <c r="U13" s="14"/>
      <c r="V13" s="14"/>
      <c r="W13" s="14"/>
      <c r="X13" s="14"/>
      <c r="Y13" s="34">
        <f t="shared" ref="Y13:Y73" si="5">SUM(Z13:AD13)</f>
        <v>112.18044999999999</v>
      </c>
      <c r="Z13" s="14">
        <f t="shared" ref="Z13:AA79" si="6">I13+N13-T13</f>
        <v>0</v>
      </c>
      <c r="AA13" s="14">
        <f t="shared" si="6"/>
        <v>0</v>
      </c>
      <c r="AB13" s="14">
        <f t="shared" ref="AB13:AB79" si="7">P13-V13</f>
        <v>0</v>
      </c>
      <c r="AC13" s="14">
        <f t="shared" ref="AC13:AD79" si="8">K13+Q13-W13</f>
        <v>112.18044999999999</v>
      </c>
      <c r="AD13" s="14">
        <f t="shared" si="8"/>
        <v>0</v>
      </c>
      <c r="AE13" s="17"/>
      <c r="AF13" s="16" t="s">
        <v>34</v>
      </c>
      <c r="AH13" s="36">
        <f t="shared" si="2"/>
        <v>0</v>
      </c>
    </row>
    <row r="14" spans="1:35" s="36" customFormat="1" ht="41.25" customHeight="1" x14ac:dyDescent="0.3">
      <c r="A14" s="49" t="s">
        <v>13</v>
      </c>
      <c r="B14" s="50" t="s">
        <v>35</v>
      </c>
      <c r="C14" s="51" t="s">
        <v>29</v>
      </c>
      <c r="D14" s="52" t="s">
        <v>36</v>
      </c>
      <c r="E14" s="14">
        <v>6790.7749999999996</v>
      </c>
      <c r="F14" s="14">
        <v>6790.7749999999996</v>
      </c>
      <c r="G14" s="14">
        <v>192.18600000000001</v>
      </c>
      <c r="H14" s="14">
        <v>192.18600000000001</v>
      </c>
      <c r="I14" s="14"/>
      <c r="J14" s="14"/>
      <c r="K14" s="14">
        <v>192.18600000000001</v>
      </c>
      <c r="L14" s="14">
        <v>0</v>
      </c>
      <c r="M14" s="34">
        <f t="shared" si="3"/>
        <v>0</v>
      </c>
      <c r="N14" s="14"/>
      <c r="O14" s="14"/>
      <c r="P14" s="14"/>
      <c r="Q14" s="14"/>
      <c r="R14" s="14"/>
      <c r="S14" s="34">
        <f t="shared" si="4"/>
        <v>0</v>
      </c>
      <c r="T14" s="14"/>
      <c r="U14" s="14"/>
      <c r="V14" s="14"/>
      <c r="W14" s="14"/>
      <c r="X14" s="14"/>
      <c r="Y14" s="34">
        <f t="shared" si="5"/>
        <v>192.18600000000001</v>
      </c>
      <c r="Z14" s="14">
        <f t="shared" si="6"/>
        <v>0</v>
      </c>
      <c r="AA14" s="14">
        <f t="shared" si="6"/>
        <v>0</v>
      </c>
      <c r="AB14" s="14">
        <f t="shared" si="7"/>
        <v>0</v>
      </c>
      <c r="AC14" s="14">
        <f t="shared" si="8"/>
        <v>192.18600000000001</v>
      </c>
      <c r="AD14" s="14">
        <f t="shared" si="8"/>
        <v>0</v>
      </c>
      <c r="AE14" s="17"/>
      <c r="AF14" s="16" t="s">
        <v>37</v>
      </c>
      <c r="AH14" s="36">
        <f t="shared" si="2"/>
        <v>0</v>
      </c>
    </row>
    <row r="15" spans="1:35" s="36" customFormat="1" ht="42" customHeight="1" x14ac:dyDescent="0.3">
      <c r="A15" s="49" t="s">
        <v>14</v>
      </c>
      <c r="B15" s="54" t="s">
        <v>38</v>
      </c>
      <c r="C15" s="51" t="s">
        <v>29</v>
      </c>
      <c r="D15" s="52" t="s">
        <v>39</v>
      </c>
      <c r="E15" s="14">
        <v>1343.115</v>
      </c>
      <c r="F15" s="14">
        <v>1343.115</v>
      </c>
      <c r="G15" s="14">
        <v>54.725999999999999</v>
      </c>
      <c r="H15" s="14">
        <v>54.725999999999999</v>
      </c>
      <c r="I15" s="14"/>
      <c r="J15" s="14"/>
      <c r="K15" s="14">
        <v>54.725999999999999</v>
      </c>
      <c r="L15" s="14">
        <v>0</v>
      </c>
      <c r="M15" s="34">
        <f t="shared" si="3"/>
        <v>0</v>
      </c>
      <c r="N15" s="14"/>
      <c r="O15" s="14"/>
      <c r="P15" s="14"/>
      <c r="Q15" s="14"/>
      <c r="R15" s="14"/>
      <c r="S15" s="34">
        <f t="shared" si="4"/>
        <v>0</v>
      </c>
      <c r="T15" s="14"/>
      <c r="U15" s="14"/>
      <c r="V15" s="14"/>
      <c r="W15" s="14"/>
      <c r="X15" s="14"/>
      <c r="Y15" s="34">
        <f t="shared" si="5"/>
        <v>54.725999999999999</v>
      </c>
      <c r="Z15" s="14">
        <f t="shared" si="6"/>
        <v>0</v>
      </c>
      <c r="AA15" s="14">
        <f t="shared" si="6"/>
        <v>0</v>
      </c>
      <c r="AB15" s="14">
        <f t="shared" si="7"/>
        <v>0</v>
      </c>
      <c r="AC15" s="14">
        <f t="shared" si="8"/>
        <v>54.725999999999999</v>
      </c>
      <c r="AD15" s="14">
        <f t="shared" si="8"/>
        <v>0</v>
      </c>
      <c r="AE15" s="17"/>
      <c r="AF15" s="16" t="s">
        <v>40</v>
      </c>
      <c r="AH15" s="36">
        <f t="shared" si="2"/>
        <v>0</v>
      </c>
    </row>
    <row r="16" spans="1:35" s="36" customFormat="1" ht="62.4" x14ac:dyDescent="0.3">
      <c r="A16" s="49" t="s">
        <v>15</v>
      </c>
      <c r="B16" s="50" t="s">
        <v>41</v>
      </c>
      <c r="C16" s="51" t="s">
        <v>29</v>
      </c>
      <c r="D16" s="52" t="s">
        <v>42</v>
      </c>
      <c r="E16" s="14">
        <v>4453.3180000000002</v>
      </c>
      <c r="F16" s="14">
        <v>4453.3180000000002</v>
      </c>
      <c r="G16" s="14">
        <f>569.1-499</f>
        <v>70.100000000000023</v>
      </c>
      <c r="H16" s="14">
        <f>K16</f>
        <v>70.100000000000023</v>
      </c>
      <c r="I16" s="14"/>
      <c r="J16" s="14"/>
      <c r="K16" s="14">
        <f>G16</f>
        <v>70.100000000000023</v>
      </c>
      <c r="L16" s="14">
        <v>0</v>
      </c>
      <c r="M16" s="34">
        <f t="shared" si="3"/>
        <v>0</v>
      </c>
      <c r="N16" s="14"/>
      <c r="O16" s="14"/>
      <c r="P16" s="14"/>
      <c r="Q16" s="14"/>
      <c r="R16" s="14"/>
      <c r="S16" s="34">
        <f t="shared" si="4"/>
        <v>0</v>
      </c>
      <c r="T16" s="14"/>
      <c r="U16" s="14"/>
      <c r="V16" s="14"/>
      <c r="W16" s="14"/>
      <c r="X16" s="14"/>
      <c r="Y16" s="34">
        <f t="shared" si="5"/>
        <v>70.100000000000023</v>
      </c>
      <c r="Z16" s="14">
        <f t="shared" si="6"/>
        <v>0</v>
      </c>
      <c r="AA16" s="14">
        <f t="shared" si="6"/>
        <v>0</v>
      </c>
      <c r="AB16" s="14">
        <f t="shared" si="7"/>
        <v>0</v>
      </c>
      <c r="AC16" s="14">
        <f t="shared" si="8"/>
        <v>70.100000000000023</v>
      </c>
      <c r="AD16" s="14">
        <f t="shared" si="8"/>
        <v>0</v>
      </c>
      <c r="AE16" s="17"/>
      <c r="AF16" s="16" t="s">
        <v>40</v>
      </c>
      <c r="AH16" s="36">
        <f t="shared" si="2"/>
        <v>0</v>
      </c>
    </row>
    <row r="17" spans="1:34" s="36" customFormat="1" ht="63" customHeight="1" x14ac:dyDescent="0.3">
      <c r="A17" s="49" t="s">
        <v>16</v>
      </c>
      <c r="B17" s="50" t="s">
        <v>43</v>
      </c>
      <c r="C17" s="51" t="s">
        <v>29</v>
      </c>
      <c r="D17" s="52" t="s">
        <v>44</v>
      </c>
      <c r="E17" s="14">
        <v>2494</v>
      </c>
      <c r="F17" s="14">
        <v>2494</v>
      </c>
      <c r="G17" s="14">
        <f>405.39-367.2</f>
        <v>38.19</v>
      </c>
      <c r="H17" s="14">
        <f t="shared" ref="H17" si="9">K17</f>
        <v>38.19</v>
      </c>
      <c r="I17" s="14"/>
      <c r="J17" s="14"/>
      <c r="K17" s="14">
        <f t="shared" ref="K17:K18" si="10">G17</f>
        <v>38.19</v>
      </c>
      <c r="L17" s="14">
        <v>0</v>
      </c>
      <c r="M17" s="34">
        <f t="shared" si="3"/>
        <v>0</v>
      </c>
      <c r="N17" s="14"/>
      <c r="O17" s="14"/>
      <c r="P17" s="14"/>
      <c r="Q17" s="14"/>
      <c r="R17" s="14"/>
      <c r="S17" s="34">
        <f t="shared" si="4"/>
        <v>0</v>
      </c>
      <c r="T17" s="14"/>
      <c r="U17" s="14"/>
      <c r="V17" s="14"/>
      <c r="W17" s="14"/>
      <c r="X17" s="14"/>
      <c r="Y17" s="34">
        <f t="shared" si="5"/>
        <v>38.19</v>
      </c>
      <c r="Z17" s="14">
        <f t="shared" si="6"/>
        <v>0</v>
      </c>
      <c r="AA17" s="14">
        <f t="shared" si="6"/>
        <v>0</v>
      </c>
      <c r="AB17" s="14">
        <f t="shared" si="7"/>
        <v>0</v>
      </c>
      <c r="AC17" s="14">
        <f t="shared" si="8"/>
        <v>38.19</v>
      </c>
      <c r="AD17" s="14">
        <f t="shared" si="8"/>
        <v>0</v>
      </c>
      <c r="AE17" s="17"/>
      <c r="AF17" s="16" t="s">
        <v>45</v>
      </c>
      <c r="AH17" s="36">
        <f t="shared" si="2"/>
        <v>0</v>
      </c>
    </row>
    <row r="18" spans="1:34" s="36" customFormat="1" ht="63" customHeight="1" x14ac:dyDescent="0.3">
      <c r="A18" s="49" t="s">
        <v>17</v>
      </c>
      <c r="B18" s="54" t="s">
        <v>46</v>
      </c>
      <c r="C18" s="51" t="s">
        <v>29</v>
      </c>
      <c r="D18" s="52" t="s">
        <v>47</v>
      </c>
      <c r="E18" s="14">
        <v>1066.1849999999999</v>
      </c>
      <c r="F18" s="14">
        <v>1066.1849999999999</v>
      </c>
      <c r="G18" s="14">
        <f>86.186-72.6</f>
        <v>13.586000000000013</v>
      </c>
      <c r="H18" s="14">
        <f>86.186-72.6</f>
        <v>13.586000000000013</v>
      </c>
      <c r="I18" s="14"/>
      <c r="J18" s="14"/>
      <c r="K18" s="14">
        <f t="shared" si="10"/>
        <v>13.586000000000013</v>
      </c>
      <c r="L18" s="14">
        <v>0</v>
      </c>
      <c r="M18" s="34">
        <f t="shared" si="3"/>
        <v>0</v>
      </c>
      <c r="N18" s="14"/>
      <c r="O18" s="14"/>
      <c r="P18" s="14"/>
      <c r="Q18" s="14"/>
      <c r="R18" s="14"/>
      <c r="S18" s="34">
        <f t="shared" si="4"/>
        <v>0</v>
      </c>
      <c r="T18" s="14"/>
      <c r="U18" s="14"/>
      <c r="V18" s="14"/>
      <c r="W18" s="14"/>
      <c r="X18" s="14"/>
      <c r="Y18" s="34">
        <f t="shared" si="5"/>
        <v>13.586000000000013</v>
      </c>
      <c r="Z18" s="14">
        <f t="shared" si="6"/>
        <v>0</v>
      </c>
      <c r="AA18" s="14">
        <f t="shared" si="6"/>
        <v>0</v>
      </c>
      <c r="AB18" s="14">
        <f t="shared" si="7"/>
        <v>0</v>
      </c>
      <c r="AC18" s="14">
        <f t="shared" si="8"/>
        <v>13.586000000000013</v>
      </c>
      <c r="AD18" s="14">
        <f t="shared" si="8"/>
        <v>0</v>
      </c>
      <c r="AE18" s="17"/>
      <c r="AF18" s="16" t="s">
        <v>40</v>
      </c>
      <c r="AH18" s="36">
        <f t="shared" si="2"/>
        <v>0</v>
      </c>
    </row>
    <row r="19" spans="1:34" s="36" customFormat="1" ht="63" customHeight="1" x14ac:dyDescent="0.3">
      <c r="A19" s="49" t="s">
        <v>18</v>
      </c>
      <c r="B19" s="50" t="s">
        <v>48</v>
      </c>
      <c r="C19" s="51" t="s">
        <v>29</v>
      </c>
      <c r="D19" s="52" t="s">
        <v>49</v>
      </c>
      <c r="E19" s="14">
        <v>443.03800000000001</v>
      </c>
      <c r="F19" s="14">
        <v>443.03800000000001</v>
      </c>
      <c r="G19" s="14">
        <v>43.661000000000001</v>
      </c>
      <c r="H19" s="14">
        <v>43.661000000000001</v>
      </c>
      <c r="I19" s="14"/>
      <c r="J19" s="14"/>
      <c r="K19" s="14">
        <v>43.661000000000001</v>
      </c>
      <c r="L19" s="14">
        <v>0</v>
      </c>
      <c r="M19" s="34">
        <f t="shared" si="3"/>
        <v>0</v>
      </c>
      <c r="N19" s="14"/>
      <c r="O19" s="14"/>
      <c r="P19" s="14"/>
      <c r="Q19" s="14"/>
      <c r="R19" s="14"/>
      <c r="S19" s="34">
        <f t="shared" si="4"/>
        <v>0</v>
      </c>
      <c r="T19" s="14"/>
      <c r="U19" s="14"/>
      <c r="V19" s="14"/>
      <c r="W19" s="14"/>
      <c r="X19" s="14"/>
      <c r="Y19" s="34">
        <f t="shared" si="5"/>
        <v>43.661000000000001</v>
      </c>
      <c r="Z19" s="14">
        <f t="shared" si="6"/>
        <v>0</v>
      </c>
      <c r="AA19" s="14">
        <f t="shared" si="6"/>
        <v>0</v>
      </c>
      <c r="AB19" s="14">
        <f t="shared" si="7"/>
        <v>0</v>
      </c>
      <c r="AC19" s="14">
        <f t="shared" si="8"/>
        <v>43.661000000000001</v>
      </c>
      <c r="AD19" s="14">
        <f t="shared" si="8"/>
        <v>0</v>
      </c>
      <c r="AE19" s="17"/>
      <c r="AF19" s="16" t="s">
        <v>40</v>
      </c>
      <c r="AH19" s="36">
        <f t="shared" si="2"/>
        <v>0</v>
      </c>
    </row>
    <row r="20" spans="1:34" s="36" customFormat="1" ht="46.8" x14ac:dyDescent="0.3">
      <c r="A20" s="49" t="s">
        <v>19</v>
      </c>
      <c r="B20" s="50" t="s">
        <v>50</v>
      </c>
      <c r="C20" s="51" t="s">
        <v>29</v>
      </c>
      <c r="D20" s="52" t="s">
        <v>51</v>
      </c>
      <c r="E20" s="14">
        <v>273.65899999999999</v>
      </c>
      <c r="F20" s="14">
        <f>E20</f>
        <v>273.65899999999999</v>
      </c>
      <c r="G20" s="14">
        <v>130.119</v>
      </c>
      <c r="H20" s="14">
        <v>130.119</v>
      </c>
      <c r="I20" s="14"/>
      <c r="J20" s="14"/>
      <c r="K20" s="14">
        <v>130.119</v>
      </c>
      <c r="L20" s="14">
        <v>0</v>
      </c>
      <c r="M20" s="34">
        <f t="shared" si="3"/>
        <v>0</v>
      </c>
      <c r="N20" s="14"/>
      <c r="O20" s="14"/>
      <c r="P20" s="14"/>
      <c r="Q20" s="14"/>
      <c r="R20" s="14"/>
      <c r="S20" s="34">
        <f t="shared" si="4"/>
        <v>0</v>
      </c>
      <c r="T20" s="14"/>
      <c r="U20" s="14"/>
      <c r="V20" s="14"/>
      <c r="W20" s="14"/>
      <c r="X20" s="14"/>
      <c r="Y20" s="34">
        <f t="shared" si="5"/>
        <v>130.119</v>
      </c>
      <c r="Z20" s="14">
        <f t="shared" si="6"/>
        <v>0</v>
      </c>
      <c r="AA20" s="14">
        <f t="shared" si="6"/>
        <v>0</v>
      </c>
      <c r="AB20" s="14">
        <f t="shared" si="7"/>
        <v>0</v>
      </c>
      <c r="AC20" s="14">
        <f t="shared" si="8"/>
        <v>130.119</v>
      </c>
      <c r="AD20" s="14">
        <f t="shared" si="8"/>
        <v>0</v>
      </c>
      <c r="AE20" s="17"/>
      <c r="AF20" s="16" t="s">
        <v>45</v>
      </c>
      <c r="AH20" s="36">
        <f t="shared" si="2"/>
        <v>0</v>
      </c>
    </row>
    <row r="21" spans="1:34" s="36" customFormat="1" ht="46.8" x14ac:dyDescent="0.3">
      <c r="A21" s="49" t="s">
        <v>20</v>
      </c>
      <c r="B21" s="50" t="s">
        <v>52</v>
      </c>
      <c r="C21" s="51" t="s">
        <v>29</v>
      </c>
      <c r="D21" s="52" t="s">
        <v>53</v>
      </c>
      <c r="E21" s="14">
        <v>387.76799999999997</v>
      </c>
      <c r="F21" s="14">
        <f>E21</f>
        <v>387.76799999999997</v>
      </c>
      <c r="G21" s="14">
        <v>187.768</v>
      </c>
      <c r="H21" s="14">
        <v>187.768</v>
      </c>
      <c r="I21" s="14"/>
      <c r="J21" s="14"/>
      <c r="K21" s="14">
        <v>187.768</v>
      </c>
      <c r="L21" s="14">
        <v>0</v>
      </c>
      <c r="M21" s="34">
        <f t="shared" si="3"/>
        <v>0</v>
      </c>
      <c r="N21" s="14"/>
      <c r="O21" s="14"/>
      <c r="P21" s="14"/>
      <c r="Q21" s="14"/>
      <c r="R21" s="14"/>
      <c r="S21" s="34">
        <f t="shared" si="4"/>
        <v>0</v>
      </c>
      <c r="T21" s="14"/>
      <c r="U21" s="14"/>
      <c r="V21" s="14"/>
      <c r="W21" s="14"/>
      <c r="X21" s="14"/>
      <c r="Y21" s="34">
        <f t="shared" si="5"/>
        <v>187.768</v>
      </c>
      <c r="Z21" s="14">
        <f t="shared" si="6"/>
        <v>0</v>
      </c>
      <c r="AA21" s="14">
        <f t="shared" si="6"/>
        <v>0</v>
      </c>
      <c r="AB21" s="14">
        <f t="shared" si="7"/>
        <v>0</v>
      </c>
      <c r="AC21" s="14">
        <f t="shared" si="8"/>
        <v>187.768</v>
      </c>
      <c r="AD21" s="14">
        <f t="shared" si="8"/>
        <v>0</v>
      </c>
      <c r="AE21" s="17"/>
      <c r="AF21" s="16" t="s">
        <v>40</v>
      </c>
      <c r="AH21" s="36">
        <f t="shared" si="2"/>
        <v>0</v>
      </c>
    </row>
    <row r="22" spans="1:34" s="36" customFormat="1" ht="40.5" customHeight="1" x14ac:dyDescent="0.3">
      <c r="A22" s="49" t="s">
        <v>54</v>
      </c>
      <c r="B22" s="55" t="s">
        <v>55</v>
      </c>
      <c r="C22" s="51" t="s">
        <v>29</v>
      </c>
      <c r="D22" s="56" t="s">
        <v>56</v>
      </c>
      <c r="E22" s="14">
        <v>859.94</v>
      </c>
      <c r="F22" s="14">
        <v>859.94</v>
      </c>
      <c r="G22" s="14">
        <f>300.561-245.8</f>
        <v>54.760999999999967</v>
      </c>
      <c r="H22" s="14">
        <f>G22</f>
        <v>54.760999999999967</v>
      </c>
      <c r="I22" s="14"/>
      <c r="J22" s="14"/>
      <c r="K22" s="14">
        <f>H22</f>
        <v>54.760999999999967</v>
      </c>
      <c r="L22" s="14">
        <v>0</v>
      </c>
      <c r="M22" s="34">
        <f t="shared" si="3"/>
        <v>0</v>
      </c>
      <c r="N22" s="14"/>
      <c r="O22" s="14"/>
      <c r="P22" s="14"/>
      <c r="Q22" s="14"/>
      <c r="R22" s="14"/>
      <c r="S22" s="34">
        <f t="shared" si="4"/>
        <v>0</v>
      </c>
      <c r="T22" s="14"/>
      <c r="U22" s="14"/>
      <c r="V22" s="14"/>
      <c r="W22" s="14"/>
      <c r="X22" s="14"/>
      <c r="Y22" s="34">
        <f t="shared" si="5"/>
        <v>54.760999999999967</v>
      </c>
      <c r="Z22" s="14">
        <f t="shared" si="6"/>
        <v>0</v>
      </c>
      <c r="AA22" s="14">
        <f t="shared" si="6"/>
        <v>0</v>
      </c>
      <c r="AB22" s="14">
        <f t="shared" si="7"/>
        <v>0</v>
      </c>
      <c r="AC22" s="14">
        <f t="shared" si="8"/>
        <v>54.760999999999967</v>
      </c>
      <c r="AD22" s="14">
        <f t="shared" si="8"/>
        <v>0</v>
      </c>
      <c r="AE22" s="17"/>
      <c r="AF22" s="16" t="s">
        <v>37</v>
      </c>
      <c r="AH22" s="36">
        <f t="shared" si="2"/>
        <v>0</v>
      </c>
    </row>
    <row r="23" spans="1:34" s="36" customFormat="1" ht="32.25" customHeight="1" x14ac:dyDescent="0.3">
      <c r="A23" s="49" t="s">
        <v>57</v>
      </c>
      <c r="B23" s="57" t="s">
        <v>58</v>
      </c>
      <c r="C23" s="51" t="s">
        <v>29</v>
      </c>
      <c r="D23" s="56" t="s">
        <v>59</v>
      </c>
      <c r="E23" s="14">
        <v>476.79599999999999</v>
      </c>
      <c r="F23" s="14">
        <v>476.79599999999999</v>
      </c>
      <c r="G23" s="14">
        <v>336.48099999999999</v>
      </c>
      <c r="H23" s="14">
        <f>336.481-22</f>
        <v>314.48099999999999</v>
      </c>
      <c r="I23" s="14"/>
      <c r="J23" s="14"/>
      <c r="K23" s="14">
        <f>336.481-22</f>
        <v>314.48099999999999</v>
      </c>
      <c r="L23" s="14">
        <v>0</v>
      </c>
      <c r="M23" s="34">
        <f t="shared" si="3"/>
        <v>0</v>
      </c>
      <c r="N23" s="14"/>
      <c r="O23" s="14"/>
      <c r="P23" s="14"/>
      <c r="Q23" s="14"/>
      <c r="R23" s="14"/>
      <c r="S23" s="34">
        <f t="shared" si="4"/>
        <v>0</v>
      </c>
      <c r="T23" s="14"/>
      <c r="U23" s="14"/>
      <c r="V23" s="14"/>
      <c r="W23" s="14"/>
      <c r="X23" s="14"/>
      <c r="Y23" s="34">
        <f t="shared" si="5"/>
        <v>314.48099999999999</v>
      </c>
      <c r="Z23" s="14">
        <f t="shared" si="6"/>
        <v>0</v>
      </c>
      <c r="AA23" s="14">
        <f t="shared" si="6"/>
        <v>0</v>
      </c>
      <c r="AB23" s="14">
        <f t="shared" si="7"/>
        <v>0</v>
      </c>
      <c r="AC23" s="14">
        <f t="shared" si="8"/>
        <v>314.48099999999999</v>
      </c>
      <c r="AD23" s="14">
        <f t="shared" si="8"/>
        <v>0</v>
      </c>
      <c r="AE23" s="17"/>
      <c r="AF23" s="16" t="s">
        <v>40</v>
      </c>
      <c r="AH23" s="36">
        <f t="shared" si="2"/>
        <v>22</v>
      </c>
    </row>
    <row r="24" spans="1:34" s="36" customFormat="1" ht="46.8" x14ac:dyDescent="0.3">
      <c r="A24" s="49" t="s">
        <v>60</v>
      </c>
      <c r="B24" s="57" t="s">
        <v>62</v>
      </c>
      <c r="C24" s="51" t="s">
        <v>29</v>
      </c>
      <c r="D24" s="18" t="s">
        <v>63</v>
      </c>
      <c r="E24" s="14">
        <v>1133</v>
      </c>
      <c r="F24" s="14">
        <v>1133</v>
      </c>
      <c r="G24" s="14">
        <f>294.244-256.7</f>
        <v>37.54400000000004</v>
      </c>
      <c r="H24" s="14">
        <f t="shared" ref="H24:H34" si="11">G24</f>
        <v>37.54400000000004</v>
      </c>
      <c r="I24" s="14"/>
      <c r="J24" s="14"/>
      <c r="K24" s="14">
        <f t="shared" ref="K24:K32" si="12">H24</f>
        <v>37.54400000000004</v>
      </c>
      <c r="L24" s="14">
        <v>0</v>
      </c>
      <c r="M24" s="34">
        <f t="shared" si="3"/>
        <v>0</v>
      </c>
      <c r="N24" s="14"/>
      <c r="O24" s="14"/>
      <c r="P24" s="14"/>
      <c r="Q24" s="14"/>
      <c r="R24" s="14"/>
      <c r="S24" s="34">
        <f t="shared" si="4"/>
        <v>0</v>
      </c>
      <c r="T24" s="14"/>
      <c r="U24" s="14"/>
      <c r="V24" s="14"/>
      <c r="W24" s="14"/>
      <c r="X24" s="14"/>
      <c r="Y24" s="34">
        <f t="shared" si="5"/>
        <v>37.54400000000004</v>
      </c>
      <c r="Z24" s="14">
        <f t="shared" si="6"/>
        <v>0</v>
      </c>
      <c r="AA24" s="14">
        <f t="shared" si="6"/>
        <v>0</v>
      </c>
      <c r="AB24" s="14">
        <f t="shared" si="7"/>
        <v>0</v>
      </c>
      <c r="AC24" s="14">
        <f t="shared" si="8"/>
        <v>37.54400000000004</v>
      </c>
      <c r="AD24" s="14">
        <f t="shared" si="8"/>
        <v>0</v>
      </c>
      <c r="AE24" s="17"/>
      <c r="AF24" s="16" t="s">
        <v>34</v>
      </c>
      <c r="AH24" s="36">
        <f t="shared" si="2"/>
        <v>0</v>
      </c>
    </row>
    <row r="25" spans="1:34" s="36" customFormat="1" ht="38.25" customHeight="1" x14ac:dyDescent="0.3">
      <c r="A25" s="49" t="s">
        <v>61</v>
      </c>
      <c r="B25" s="58" t="s">
        <v>65</v>
      </c>
      <c r="C25" s="51" t="s">
        <v>29</v>
      </c>
      <c r="D25" s="12" t="s">
        <v>66</v>
      </c>
      <c r="E25" s="14">
        <v>2644.2089999999998</v>
      </c>
      <c r="F25" s="14">
        <v>2644.2089999999998</v>
      </c>
      <c r="G25" s="14">
        <v>47.8</v>
      </c>
      <c r="H25" s="14">
        <f t="shared" si="11"/>
        <v>47.8</v>
      </c>
      <c r="I25" s="14"/>
      <c r="J25" s="14"/>
      <c r="K25" s="14">
        <f t="shared" si="12"/>
        <v>47.8</v>
      </c>
      <c r="L25" s="14">
        <v>0</v>
      </c>
      <c r="M25" s="34">
        <f t="shared" si="3"/>
        <v>0</v>
      </c>
      <c r="N25" s="14"/>
      <c r="O25" s="14"/>
      <c r="P25" s="14"/>
      <c r="Q25" s="14"/>
      <c r="R25" s="14"/>
      <c r="S25" s="34">
        <f t="shared" si="4"/>
        <v>0</v>
      </c>
      <c r="T25" s="14"/>
      <c r="U25" s="14"/>
      <c r="V25" s="14"/>
      <c r="W25" s="14"/>
      <c r="X25" s="14"/>
      <c r="Y25" s="34">
        <f t="shared" si="5"/>
        <v>47.8</v>
      </c>
      <c r="Z25" s="14">
        <f t="shared" si="6"/>
        <v>0</v>
      </c>
      <c r="AA25" s="14">
        <f t="shared" si="6"/>
        <v>0</v>
      </c>
      <c r="AB25" s="14">
        <f t="shared" si="7"/>
        <v>0</v>
      </c>
      <c r="AC25" s="14">
        <f t="shared" si="8"/>
        <v>47.8</v>
      </c>
      <c r="AD25" s="14">
        <f t="shared" si="8"/>
        <v>0</v>
      </c>
      <c r="AE25" s="17"/>
      <c r="AF25" s="16" t="s">
        <v>67</v>
      </c>
      <c r="AH25" s="36">
        <f t="shared" si="2"/>
        <v>0</v>
      </c>
    </row>
    <row r="26" spans="1:34" s="36" customFormat="1" ht="60" customHeight="1" x14ac:dyDescent="0.3">
      <c r="A26" s="49" t="s">
        <v>64</v>
      </c>
      <c r="B26" s="58" t="s">
        <v>69</v>
      </c>
      <c r="C26" s="51" t="s">
        <v>29</v>
      </c>
      <c r="D26" s="12" t="s">
        <v>70</v>
      </c>
      <c r="E26" s="14">
        <v>407.54500000000002</v>
      </c>
      <c r="F26" s="14">
        <v>407.54500000000002</v>
      </c>
      <c r="G26" s="14">
        <f>60.5-20.3</f>
        <v>40.200000000000003</v>
      </c>
      <c r="H26" s="14">
        <f t="shared" si="11"/>
        <v>40.200000000000003</v>
      </c>
      <c r="I26" s="14"/>
      <c r="J26" s="14"/>
      <c r="K26" s="14">
        <f t="shared" si="12"/>
        <v>40.200000000000003</v>
      </c>
      <c r="L26" s="14">
        <v>0</v>
      </c>
      <c r="M26" s="34">
        <f t="shared" si="3"/>
        <v>0</v>
      </c>
      <c r="N26" s="14"/>
      <c r="O26" s="14"/>
      <c r="P26" s="14"/>
      <c r="Q26" s="14"/>
      <c r="R26" s="14"/>
      <c r="S26" s="34">
        <f t="shared" si="4"/>
        <v>0</v>
      </c>
      <c r="T26" s="14"/>
      <c r="U26" s="14"/>
      <c r="V26" s="14"/>
      <c r="W26" s="14"/>
      <c r="X26" s="14"/>
      <c r="Y26" s="34">
        <f t="shared" si="5"/>
        <v>40.200000000000003</v>
      </c>
      <c r="Z26" s="14">
        <f t="shared" si="6"/>
        <v>0</v>
      </c>
      <c r="AA26" s="14">
        <f t="shared" si="6"/>
        <v>0</v>
      </c>
      <c r="AB26" s="14">
        <f t="shared" si="7"/>
        <v>0</v>
      </c>
      <c r="AC26" s="14">
        <f t="shared" si="8"/>
        <v>40.200000000000003</v>
      </c>
      <c r="AD26" s="14">
        <f t="shared" si="8"/>
        <v>0</v>
      </c>
      <c r="AE26" s="17"/>
      <c r="AF26" s="16" t="s">
        <v>40</v>
      </c>
      <c r="AH26" s="36">
        <f t="shared" si="2"/>
        <v>0</v>
      </c>
    </row>
    <row r="27" spans="1:34" s="36" customFormat="1" ht="45" customHeight="1" x14ac:dyDescent="0.3">
      <c r="A27" s="49" t="s">
        <v>68</v>
      </c>
      <c r="B27" s="57" t="s">
        <v>72</v>
      </c>
      <c r="C27" s="51" t="s">
        <v>29</v>
      </c>
      <c r="D27" s="56"/>
      <c r="E27" s="14">
        <v>466</v>
      </c>
      <c r="F27" s="14">
        <v>466</v>
      </c>
      <c r="G27" s="14">
        <f>465.854-418.2</f>
        <v>47.653999999999996</v>
      </c>
      <c r="H27" s="14">
        <f t="shared" si="11"/>
        <v>47.653999999999996</v>
      </c>
      <c r="I27" s="14"/>
      <c r="J27" s="14"/>
      <c r="K27" s="14">
        <f t="shared" si="12"/>
        <v>47.653999999999996</v>
      </c>
      <c r="L27" s="14">
        <v>0</v>
      </c>
      <c r="M27" s="34">
        <f t="shared" si="3"/>
        <v>0</v>
      </c>
      <c r="N27" s="14"/>
      <c r="O27" s="14"/>
      <c r="P27" s="14"/>
      <c r="Q27" s="14"/>
      <c r="R27" s="14"/>
      <c r="S27" s="34">
        <f t="shared" si="4"/>
        <v>0</v>
      </c>
      <c r="T27" s="14"/>
      <c r="U27" s="14"/>
      <c r="V27" s="14"/>
      <c r="W27" s="14"/>
      <c r="X27" s="14"/>
      <c r="Y27" s="34">
        <f t="shared" si="5"/>
        <v>47.653999999999996</v>
      </c>
      <c r="Z27" s="14">
        <f t="shared" si="6"/>
        <v>0</v>
      </c>
      <c r="AA27" s="14">
        <f t="shared" si="6"/>
        <v>0</v>
      </c>
      <c r="AB27" s="14">
        <f t="shared" si="7"/>
        <v>0</v>
      </c>
      <c r="AC27" s="14">
        <f t="shared" si="8"/>
        <v>47.653999999999996</v>
      </c>
      <c r="AD27" s="14">
        <f t="shared" si="8"/>
        <v>0</v>
      </c>
      <c r="AE27" s="17"/>
      <c r="AF27" s="16" t="s">
        <v>40</v>
      </c>
      <c r="AH27" s="36">
        <f t="shared" si="2"/>
        <v>0</v>
      </c>
    </row>
    <row r="28" spans="1:34" s="36" customFormat="1" ht="31.2" x14ac:dyDescent="0.3">
      <c r="A28" s="49" t="s">
        <v>71</v>
      </c>
      <c r="B28" s="57" t="s">
        <v>74</v>
      </c>
      <c r="C28" s="51" t="s">
        <v>29</v>
      </c>
      <c r="D28" s="57"/>
      <c r="E28" s="14">
        <v>185</v>
      </c>
      <c r="F28" s="14">
        <v>185</v>
      </c>
      <c r="G28" s="14">
        <f>184.749-161.5</f>
        <v>23.248999999999995</v>
      </c>
      <c r="H28" s="14">
        <f t="shared" si="11"/>
        <v>23.248999999999995</v>
      </c>
      <c r="I28" s="14"/>
      <c r="J28" s="14"/>
      <c r="K28" s="14">
        <f t="shared" si="12"/>
        <v>23.248999999999995</v>
      </c>
      <c r="L28" s="14">
        <v>0</v>
      </c>
      <c r="M28" s="34">
        <f t="shared" si="3"/>
        <v>0</v>
      </c>
      <c r="N28" s="14"/>
      <c r="O28" s="14"/>
      <c r="P28" s="14"/>
      <c r="Q28" s="14"/>
      <c r="R28" s="14"/>
      <c r="S28" s="34">
        <f t="shared" si="4"/>
        <v>0</v>
      </c>
      <c r="T28" s="14"/>
      <c r="U28" s="14"/>
      <c r="V28" s="14"/>
      <c r="W28" s="14"/>
      <c r="X28" s="14"/>
      <c r="Y28" s="34">
        <f t="shared" si="5"/>
        <v>23.248999999999995</v>
      </c>
      <c r="Z28" s="14">
        <f t="shared" si="6"/>
        <v>0</v>
      </c>
      <c r="AA28" s="14">
        <f t="shared" si="6"/>
        <v>0</v>
      </c>
      <c r="AB28" s="14">
        <f t="shared" si="7"/>
        <v>0</v>
      </c>
      <c r="AC28" s="14">
        <f t="shared" si="8"/>
        <v>23.248999999999995</v>
      </c>
      <c r="AD28" s="14">
        <f t="shared" si="8"/>
        <v>0</v>
      </c>
      <c r="AE28" s="17"/>
      <c r="AF28" s="16" t="s">
        <v>75</v>
      </c>
      <c r="AH28" s="36">
        <f t="shared" si="2"/>
        <v>0</v>
      </c>
    </row>
    <row r="29" spans="1:34" s="36" customFormat="1" ht="44.25" customHeight="1" x14ac:dyDescent="0.3">
      <c r="A29" s="49" t="s">
        <v>73</v>
      </c>
      <c r="B29" s="19" t="s">
        <v>77</v>
      </c>
      <c r="C29" s="51" t="s">
        <v>29</v>
      </c>
      <c r="D29" s="56"/>
      <c r="E29" s="14">
        <f>F29</f>
        <v>5729.52</v>
      </c>
      <c r="F29" s="14">
        <f>4500+250+979.52</f>
        <v>5729.52</v>
      </c>
      <c r="G29" s="14">
        <f>979.5-907.7</f>
        <v>71.799999999999955</v>
      </c>
      <c r="H29" s="14">
        <f t="shared" si="11"/>
        <v>71.799999999999955</v>
      </c>
      <c r="I29" s="14"/>
      <c r="J29" s="14"/>
      <c r="K29" s="14">
        <f t="shared" si="12"/>
        <v>71.799999999999955</v>
      </c>
      <c r="L29" s="14">
        <v>0</v>
      </c>
      <c r="M29" s="34">
        <f t="shared" si="3"/>
        <v>0</v>
      </c>
      <c r="N29" s="14"/>
      <c r="O29" s="14"/>
      <c r="P29" s="14"/>
      <c r="Q29" s="14"/>
      <c r="R29" s="14"/>
      <c r="S29" s="34">
        <f t="shared" si="4"/>
        <v>0</v>
      </c>
      <c r="T29" s="14"/>
      <c r="U29" s="14"/>
      <c r="V29" s="14"/>
      <c r="W29" s="14"/>
      <c r="X29" s="14"/>
      <c r="Y29" s="34">
        <f t="shared" si="5"/>
        <v>71.799999999999955</v>
      </c>
      <c r="Z29" s="14">
        <f t="shared" si="6"/>
        <v>0</v>
      </c>
      <c r="AA29" s="14">
        <f t="shared" si="6"/>
        <v>0</v>
      </c>
      <c r="AB29" s="14">
        <f t="shared" si="7"/>
        <v>0</v>
      </c>
      <c r="AC29" s="14">
        <f t="shared" si="8"/>
        <v>71.799999999999955</v>
      </c>
      <c r="AD29" s="14">
        <f t="shared" si="8"/>
        <v>0</v>
      </c>
      <c r="AE29" s="17"/>
      <c r="AF29" s="16" t="s">
        <v>40</v>
      </c>
      <c r="AH29" s="36">
        <f t="shared" si="2"/>
        <v>0</v>
      </c>
    </row>
    <row r="30" spans="1:34" s="36" customFormat="1" ht="46.5" customHeight="1" x14ac:dyDescent="0.3">
      <c r="A30" s="49" t="s">
        <v>76</v>
      </c>
      <c r="B30" s="19" t="s">
        <v>79</v>
      </c>
      <c r="C30" s="51" t="s">
        <v>29</v>
      </c>
      <c r="D30" s="56"/>
      <c r="E30" s="14">
        <v>195.12799999999999</v>
      </c>
      <c r="F30" s="14">
        <v>195.12799999999999</v>
      </c>
      <c r="G30" s="14">
        <v>77.599999999999994</v>
      </c>
      <c r="H30" s="14">
        <f t="shared" si="11"/>
        <v>77.599999999999994</v>
      </c>
      <c r="I30" s="14"/>
      <c r="J30" s="14"/>
      <c r="K30" s="14">
        <f t="shared" si="12"/>
        <v>77.599999999999994</v>
      </c>
      <c r="L30" s="14">
        <v>0</v>
      </c>
      <c r="M30" s="34">
        <f t="shared" si="3"/>
        <v>0</v>
      </c>
      <c r="N30" s="14"/>
      <c r="O30" s="14"/>
      <c r="P30" s="14"/>
      <c r="Q30" s="14"/>
      <c r="R30" s="14"/>
      <c r="S30" s="34">
        <f t="shared" si="4"/>
        <v>0</v>
      </c>
      <c r="T30" s="14"/>
      <c r="U30" s="14"/>
      <c r="V30" s="14"/>
      <c r="W30" s="14"/>
      <c r="X30" s="14"/>
      <c r="Y30" s="34">
        <f t="shared" si="5"/>
        <v>77.599999999999994</v>
      </c>
      <c r="Z30" s="14">
        <f t="shared" si="6"/>
        <v>0</v>
      </c>
      <c r="AA30" s="14">
        <f t="shared" si="6"/>
        <v>0</v>
      </c>
      <c r="AB30" s="14">
        <f t="shared" si="7"/>
        <v>0</v>
      </c>
      <c r="AC30" s="14">
        <f t="shared" si="8"/>
        <v>77.599999999999994</v>
      </c>
      <c r="AD30" s="14">
        <f t="shared" si="8"/>
        <v>0</v>
      </c>
      <c r="AE30" s="17"/>
      <c r="AF30" s="16" t="s">
        <v>40</v>
      </c>
      <c r="AH30" s="36">
        <f t="shared" si="2"/>
        <v>0</v>
      </c>
    </row>
    <row r="31" spans="1:34" s="36" customFormat="1" ht="47.25" customHeight="1" x14ac:dyDescent="0.3">
      <c r="A31" s="49" t="s">
        <v>78</v>
      </c>
      <c r="B31" s="19" t="s">
        <v>80</v>
      </c>
      <c r="C31" s="51" t="s">
        <v>29</v>
      </c>
      <c r="D31" s="12" t="s">
        <v>81</v>
      </c>
      <c r="E31" s="14">
        <v>333.00099999999998</v>
      </c>
      <c r="F31" s="14">
        <v>333.00099999999998</v>
      </c>
      <c r="G31" s="14">
        <f>114.5-84.8</f>
        <v>29.700000000000003</v>
      </c>
      <c r="H31" s="14">
        <f t="shared" si="11"/>
        <v>29.700000000000003</v>
      </c>
      <c r="I31" s="14"/>
      <c r="J31" s="14"/>
      <c r="K31" s="14">
        <f t="shared" si="12"/>
        <v>29.700000000000003</v>
      </c>
      <c r="L31" s="14">
        <v>0</v>
      </c>
      <c r="M31" s="34">
        <f t="shared" si="3"/>
        <v>0</v>
      </c>
      <c r="N31" s="14"/>
      <c r="O31" s="14"/>
      <c r="P31" s="14"/>
      <c r="Q31" s="14"/>
      <c r="R31" s="14"/>
      <c r="S31" s="34">
        <f t="shared" si="4"/>
        <v>0</v>
      </c>
      <c r="T31" s="14"/>
      <c r="U31" s="14"/>
      <c r="V31" s="14"/>
      <c r="W31" s="14"/>
      <c r="X31" s="14"/>
      <c r="Y31" s="34">
        <f t="shared" si="5"/>
        <v>29.700000000000003</v>
      </c>
      <c r="Z31" s="14">
        <f t="shared" si="6"/>
        <v>0</v>
      </c>
      <c r="AA31" s="14">
        <f t="shared" si="6"/>
        <v>0</v>
      </c>
      <c r="AB31" s="14">
        <f t="shared" si="7"/>
        <v>0</v>
      </c>
      <c r="AC31" s="14">
        <f t="shared" si="8"/>
        <v>29.700000000000003</v>
      </c>
      <c r="AD31" s="14">
        <f t="shared" si="8"/>
        <v>0</v>
      </c>
      <c r="AE31" s="17"/>
      <c r="AF31" s="16" t="s">
        <v>40</v>
      </c>
      <c r="AH31" s="36">
        <f t="shared" si="2"/>
        <v>0</v>
      </c>
    </row>
    <row r="32" spans="1:34" s="36" customFormat="1" ht="48" customHeight="1" x14ac:dyDescent="0.3">
      <c r="A32" s="49" t="s">
        <v>23</v>
      </c>
      <c r="B32" s="19" t="s">
        <v>83</v>
      </c>
      <c r="C32" s="51" t="s">
        <v>29</v>
      </c>
      <c r="D32" s="56"/>
      <c r="E32" s="14">
        <v>838.78</v>
      </c>
      <c r="F32" s="14">
        <f>E32</f>
        <v>838.78</v>
      </c>
      <c r="G32" s="14">
        <f>838.78-654</f>
        <v>184.77999999999997</v>
      </c>
      <c r="H32" s="14">
        <f t="shared" si="11"/>
        <v>184.77999999999997</v>
      </c>
      <c r="I32" s="14"/>
      <c r="J32" s="14"/>
      <c r="K32" s="14">
        <f t="shared" si="12"/>
        <v>184.77999999999997</v>
      </c>
      <c r="L32" s="14">
        <v>0</v>
      </c>
      <c r="M32" s="34">
        <f t="shared" si="3"/>
        <v>0</v>
      </c>
      <c r="N32" s="14"/>
      <c r="O32" s="14"/>
      <c r="P32" s="14"/>
      <c r="Q32" s="14"/>
      <c r="R32" s="14"/>
      <c r="S32" s="34">
        <f t="shared" si="4"/>
        <v>0</v>
      </c>
      <c r="T32" s="14"/>
      <c r="U32" s="14"/>
      <c r="V32" s="14"/>
      <c r="W32" s="14"/>
      <c r="X32" s="14"/>
      <c r="Y32" s="34">
        <f t="shared" si="5"/>
        <v>184.77999999999997</v>
      </c>
      <c r="Z32" s="14">
        <f t="shared" si="6"/>
        <v>0</v>
      </c>
      <c r="AA32" s="14">
        <f t="shared" si="6"/>
        <v>0</v>
      </c>
      <c r="AB32" s="14">
        <f t="shared" si="7"/>
        <v>0</v>
      </c>
      <c r="AC32" s="14">
        <f t="shared" si="8"/>
        <v>184.77999999999997</v>
      </c>
      <c r="AD32" s="14">
        <f t="shared" si="8"/>
        <v>0</v>
      </c>
      <c r="AE32" s="17"/>
      <c r="AF32" s="16" t="s">
        <v>40</v>
      </c>
      <c r="AH32" s="36">
        <f t="shared" si="2"/>
        <v>0</v>
      </c>
    </row>
    <row r="33" spans="1:34" s="36" customFormat="1" ht="36" customHeight="1" x14ac:dyDescent="0.3">
      <c r="A33" s="49"/>
      <c r="B33" s="31" t="s">
        <v>195</v>
      </c>
      <c r="C33" s="51"/>
      <c r="D33" s="56"/>
      <c r="E33" s="14"/>
      <c r="F33" s="14"/>
      <c r="G33" s="14"/>
      <c r="H33" s="14"/>
      <c r="I33" s="14"/>
      <c r="J33" s="14"/>
      <c r="K33" s="14"/>
      <c r="L33" s="14"/>
      <c r="M33" s="34">
        <f t="shared" si="3"/>
        <v>0</v>
      </c>
      <c r="N33" s="14"/>
      <c r="O33" s="14"/>
      <c r="P33" s="14"/>
      <c r="Q33" s="14"/>
      <c r="R33" s="14"/>
      <c r="S33" s="34">
        <f t="shared" si="4"/>
        <v>0</v>
      </c>
      <c r="T33" s="14"/>
      <c r="U33" s="14"/>
      <c r="V33" s="14"/>
      <c r="W33" s="14"/>
      <c r="X33" s="14"/>
      <c r="Y33" s="34">
        <f t="shared" si="5"/>
        <v>0</v>
      </c>
      <c r="Z33" s="14">
        <f t="shared" si="6"/>
        <v>0</v>
      </c>
      <c r="AA33" s="14">
        <f t="shared" si="6"/>
        <v>0</v>
      </c>
      <c r="AB33" s="14">
        <f t="shared" si="7"/>
        <v>0</v>
      </c>
      <c r="AC33" s="14">
        <f t="shared" si="8"/>
        <v>0</v>
      </c>
      <c r="AD33" s="14">
        <f t="shared" si="8"/>
        <v>0</v>
      </c>
      <c r="AE33" s="17"/>
      <c r="AF33" s="16"/>
    </row>
    <row r="34" spans="1:34" s="36" customFormat="1" ht="118.5" customHeight="1" x14ac:dyDescent="0.3">
      <c r="A34" s="49" t="s">
        <v>82</v>
      </c>
      <c r="B34" s="59" t="s">
        <v>242</v>
      </c>
      <c r="C34" s="51"/>
      <c r="D34" s="56"/>
      <c r="E34" s="14">
        <v>22</v>
      </c>
      <c r="F34" s="14">
        <f>E34</f>
        <v>22</v>
      </c>
      <c r="G34" s="14">
        <f>F34</f>
        <v>22</v>
      </c>
      <c r="H34" s="14">
        <f t="shared" si="11"/>
        <v>22</v>
      </c>
      <c r="I34" s="14"/>
      <c r="J34" s="14"/>
      <c r="K34" s="14">
        <f>G34</f>
        <v>22</v>
      </c>
      <c r="L34" s="14"/>
      <c r="M34" s="34">
        <f t="shared" si="3"/>
        <v>0</v>
      </c>
      <c r="N34" s="14"/>
      <c r="O34" s="14"/>
      <c r="P34" s="14"/>
      <c r="Q34" s="14"/>
      <c r="R34" s="14"/>
      <c r="S34" s="34">
        <f t="shared" si="4"/>
        <v>0</v>
      </c>
      <c r="T34" s="14"/>
      <c r="U34" s="14"/>
      <c r="V34" s="14"/>
      <c r="W34" s="14"/>
      <c r="X34" s="14"/>
      <c r="Y34" s="34">
        <f t="shared" si="5"/>
        <v>22</v>
      </c>
      <c r="Z34" s="14">
        <f t="shared" si="6"/>
        <v>0</v>
      </c>
      <c r="AA34" s="14">
        <f t="shared" si="6"/>
        <v>0</v>
      </c>
      <c r="AB34" s="14">
        <f t="shared" si="7"/>
        <v>0</v>
      </c>
      <c r="AC34" s="14">
        <f t="shared" si="8"/>
        <v>22</v>
      </c>
      <c r="AD34" s="14">
        <f t="shared" si="8"/>
        <v>0</v>
      </c>
      <c r="AE34" s="17"/>
      <c r="AF34" s="16"/>
    </row>
    <row r="35" spans="1:34" s="36" customFormat="1" ht="32.25" customHeight="1" x14ac:dyDescent="0.3">
      <c r="A35" s="47"/>
      <c r="B35" s="48" t="s">
        <v>84</v>
      </c>
      <c r="C35" s="48"/>
      <c r="D35" s="12"/>
      <c r="E35" s="13"/>
      <c r="F35" s="13"/>
      <c r="G35" s="13">
        <v>0</v>
      </c>
      <c r="H35" s="14">
        <v>0</v>
      </c>
      <c r="I35" s="14"/>
      <c r="J35" s="14"/>
      <c r="K35" s="13">
        <v>0</v>
      </c>
      <c r="L35" s="13">
        <v>0</v>
      </c>
      <c r="M35" s="34">
        <f t="shared" si="3"/>
        <v>0</v>
      </c>
      <c r="N35" s="14"/>
      <c r="O35" s="14"/>
      <c r="P35" s="14"/>
      <c r="Q35" s="14"/>
      <c r="R35" s="14"/>
      <c r="S35" s="34">
        <f t="shared" si="4"/>
        <v>0</v>
      </c>
      <c r="T35" s="14"/>
      <c r="U35" s="14"/>
      <c r="V35" s="14"/>
      <c r="W35" s="14"/>
      <c r="X35" s="14"/>
      <c r="Y35" s="34">
        <f t="shared" si="5"/>
        <v>0</v>
      </c>
      <c r="Z35" s="14">
        <f t="shared" si="6"/>
        <v>0</v>
      </c>
      <c r="AA35" s="14">
        <f t="shared" si="6"/>
        <v>0</v>
      </c>
      <c r="AB35" s="14">
        <f t="shared" si="7"/>
        <v>0</v>
      </c>
      <c r="AC35" s="14">
        <f t="shared" si="8"/>
        <v>0</v>
      </c>
      <c r="AD35" s="14">
        <f t="shared" si="8"/>
        <v>0</v>
      </c>
      <c r="AE35" s="15"/>
      <c r="AF35" s="16"/>
      <c r="AH35" s="36">
        <f t="shared" ref="AH35:AH98" si="13">G35-H35</f>
        <v>0</v>
      </c>
    </row>
    <row r="36" spans="1:34" s="36" customFormat="1" ht="46.8" x14ac:dyDescent="0.3">
      <c r="A36" s="49" t="s">
        <v>85</v>
      </c>
      <c r="B36" s="60" t="s">
        <v>86</v>
      </c>
      <c r="C36" s="51" t="s">
        <v>87</v>
      </c>
      <c r="D36" s="56" t="s">
        <v>88</v>
      </c>
      <c r="E36" s="14">
        <v>1650.31</v>
      </c>
      <c r="F36" s="14">
        <v>1650.31</v>
      </c>
      <c r="G36" s="14">
        <f>274.551-203.8</f>
        <v>70.750999999999976</v>
      </c>
      <c r="H36" s="14">
        <f>G36</f>
        <v>70.750999999999976</v>
      </c>
      <c r="I36" s="14"/>
      <c r="J36" s="14"/>
      <c r="K36" s="14">
        <f>G36</f>
        <v>70.750999999999976</v>
      </c>
      <c r="L36" s="14">
        <v>0</v>
      </c>
      <c r="M36" s="34">
        <f t="shared" si="3"/>
        <v>0</v>
      </c>
      <c r="N36" s="14"/>
      <c r="O36" s="14"/>
      <c r="P36" s="14"/>
      <c r="Q36" s="14"/>
      <c r="R36" s="14"/>
      <c r="S36" s="34">
        <f t="shared" si="4"/>
        <v>0</v>
      </c>
      <c r="T36" s="14"/>
      <c r="U36" s="14"/>
      <c r="V36" s="14"/>
      <c r="W36" s="14"/>
      <c r="X36" s="14"/>
      <c r="Y36" s="34">
        <f t="shared" si="5"/>
        <v>70.750999999999976</v>
      </c>
      <c r="Z36" s="14">
        <f t="shared" si="6"/>
        <v>0</v>
      </c>
      <c r="AA36" s="14">
        <f t="shared" si="6"/>
        <v>0</v>
      </c>
      <c r="AB36" s="14">
        <f t="shared" si="7"/>
        <v>0</v>
      </c>
      <c r="AC36" s="14">
        <f t="shared" si="8"/>
        <v>70.750999999999976</v>
      </c>
      <c r="AD36" s="14">
        <f t="shared" si="8"/>
        <v>0</v>
      </c>
      <c r="AE36" s="17"/>
      <c r="AF36" s="16" t="s">
        <v>89</v>
      </c>
      <c r="AH36" s="36">
        <f t="shared" si="13"/>
        <v>0</v>
      </c>
    </row>
    <row r="37" spans="1:34" s="36" customFormat="1" ht="51.75" customHeight="1" x14ac:dyDescent="0.3">
      <c r="A37" s="49" t="s">
        <v>21</v>
      </c>
      <c r="B37" s="20" t="s">
        <v>90</v>
      </c>
      <c r="C37" s="51" t="s">
        <v>87</v>
      </c>
      <c r="D37" s="56"/>
      <c r="E37" s="14">
        <v>6883.51</v>
      </c>
      <c r="F37" s="14"/>
      <c r="G37" s="14">
        <f>2577.8-2531.2</f>
        <v>46.600000000000364</v>
      </c>
      <c r="H37" s="14">
        <f>G37</f>
        <v>46.600000000000364</v>
      </c>
      <c r="I37" s="14"/>
      <c r="J37" s="14"/>
      <c r="K37" s="14">
        <f>G37</f>
        <v>46.600000000000364</v>
      </c>
      <c r="L37" s="14">
        <v>0</v>
      </c>
      <c r="M37" s="34">
        <f t="shared" si="3"/>
        <v>0</v>
      </c>
      <c r="N37" s="14"/>
      <c r="O37" s="14"/>
      <c r="P37" s="14"/>
      <c r="Q37" s="14"/>
      <c r="R37" s="14"/>
      <c r="S37" s="34">
        <f t="shared" si="4"/>
        <v>0</v>
      </c>
      <c r="T37" s="14"/>
      <c r="U37" s="14"/>
      <c r="V37" s="14"/>
      <c r="W37" s="14"/>
      <c r="X37" s="14"/>
      <c r="Y37" s="34">
        <f t="shared" si="5"/>
        <v>46.600000000000364</v>
      </c>
      <c r="Z37" s="14">
        <f t="shared" si="6"/>
        <v>0</v>
      </c>
      <c r="AA37" s="14">
        <f t="shared" si="6"/>
        <v>0</v>
      </c>
      <c r="AB37" s="14">
        <f t="shared" si="7"/>
        <v>0</v>
      </c>
      <c r="AC37" s="14">
        <f t="shared" si="8"/>
        <v>46.600000000000364</v>
      </c>
      <c r="AD37" s="14">
        <f t="shared" si="8"/>
        <v>0</v>
      </c>
      <c r="AE37" s="17"/>
      <c r="AF37" s="16" t="s">
        <v>31</v>
      </c>
      <c r="AH37" s="36">
        <f t="shared" si="13"/>
        <v>0</v>
      </c>
    </row>
    <row r="38" spans="1:34" s="36" customFormat="1" ht="31.2" x14ac:dyDescent="0.3">
      <c r="A38" s="49" t="s">
        <v>22</v>
      </c>
      <c r="B38" s="61" t="s">
        <v>91</v>
      </c>
      <c r="C38" s="51" t="s">
        <v>87</v>
      </c>
      <c r="D38" s="56"/>
      <c r="E38" s="14"/>
      <c r="F38" s="14"/>
      <c r="G38" s="14">
        <v>188</v>
      </c>
      <c r="H38" s="14">
        <v>188</v>
      </c>
      <c r="I38" s="14"/>
      <c r="J38" s="14"/>
      <c r="K38" s="14">
        <v>188</v>
      </c>
      <c r="L38" s="14">
        <v>0</v>
      </c>
      <c r="M38" s="34">
        <f t="shared" si="3"/>
        <v>0</v>
      </c>
      <c r="N38" s="14"/>
      <c r="O38" s="14"/>
      <c r="P38" s="14"/>
      <c r="Q38" s="14"/>
      <c r="R38" s="14"/>
      <c r="S38" s="34">
        <f t="shared" si="4"/>
        <v>0</v>
      </c>
      <c r="T38" s="14"/>
      <c r="U38" s="14"/>
      <c r="V38" s="14"/>
      <c r="W38" s="14"/>
      <c r="X38" s="14"/>
      <c r="Y38" s="34">
        <f t="shared" si="5"/>
        <v>188</v>
      </c>
      <c r="Z38" s="14">
        <f t="shared" si="6"/>
        <v>0</v>
      </c>
      <c r="AA38" s="14">
        <f t="shared" si="6"/>
        <v>0</v>
      </c>
      <c r="AB38" s="14">
        <f t="shared" si="7"/>
        <v>0</v>
      </c>
      <c r="AC38" s="14">
        <f t="shared" si="8"/>
        <v>188</v>
      </c>
      <c r="AD38" s="14">
        <f t="shared" si="8"/>
        <v>0</v>
      </c>
      <c r="AE38" s="17"/>
      <c r="AF38" s="16" t="s">
        <v>40</v>
      </c>
      <c r="AH38" s="36">
        <f t="shared" si="13"/>
        <v>0</v>
      </c>
    </row>
    <row r="39" spans="1:34" s="36" customFormat="1" ht="31.2" x14ac:dyDescent="0.3">
      <c r="A39" s="49" t="s">
        <v>92</v>
      </c>
      <c r="B39" s="61" t="s">
        <v>93</v>
      </c>
      <c r="C39" s="51" t="s">
        <v>87</v>
      </c>
      <c r="D39" s="56"/>
      <c r="E39" s="14"/>
      <c r="F39" s="14"/>
      <c r="G39" s="14">
        <v>287</v>
      </c>
      <c r="H39" s="14">
        <v>287</v>
      </c>
      <c r="I39" s="14"/>
      <c r="J39" s="14"/>
      <c r="K39" s="14">
        <v>287</v>
      </c>
      <c r="L39" s="14">
        <v>0</v>
      </c>
      <c r="M39" s="34">
        <f t="shared" si="3"/>
        <v>0</v>
      </c>
      <c r="N39" s="14"/>
      <c r="O39" s="14"/>
      <c r="P39" s="14"/>
      <c r="Q39" s="14"/>
      <c r="R39" s="14"/>
      <c r="S39" s="34">
        <f t="shared" si="4"/>
        <v>0</v>
      </c>
      <c r="T39" s="14"/>
      <c r="U39" s="14"/>
      <c r="V39" s="14"/>
      <c r="W39" s="14"/>
      <c r="X39" s="14"/>
      <c r="Y39" s="34">
        <f t="shared" si="5"/>
        <v>287</v>
      </c>
      <c r="Z39" s="14">
        <f t="shared" si="6"/>
        <v>0</v>
      </c>
      <c r="AA39" s="14">
        <f t="shared" si="6"/>
        <v>0</v>
      </c>
      <c r="AB39" s="14">
        <f t="shared" si="7"/>
        <v>0</v>
      </c>
      <c r="AC39" s="14">
        <f t="shared" si="8"/>
        <v>287</v>
      </c>
      <c r="AD39" s="14">
        <f t="shared" si="8"/>
        <v>0</v>
      </c>
      <c r="AE39" s="17"/>
      <c r="AF39" s="16" t="s">
        <v>67</v>
      </c>
      <c r="AH39" s="36">
        <f t="shared" si="13"/>
        <v>0</v>
      </c>
    </row>
    <row r="40" spans="1:34" s="36" customFormat="1" ht="31.2" x14ac:dyDescent="0.3">
      <c r="A40" s="49" t="s">
        <v>94</v>
      </c>
      <c r="B40" s="61" t="s">
        <v>95</v>
      </c>
      <c r="C40" s="51" t="s">
        <v>87</v>
      </c>
      <c r="D40" s="56"/>
      <c r="E40" s="14"/>
      <c r="F40" s="14"/>
      <c r="G40" s="14">
        <v>248</v>
      </c>
      <c r="H40" s="14">
        <v>248</v>
      </c>
      <c r="I40" s="14"/>
      <c r="J40" s="14"/>
      <c r="K40" s="14">
        <v>248</v>
      </c>
      <c r="L40" s="14">
        <v>0</v>
      </c>
      <c r="M40" s="34">
        <f t="shared" si="3"/>
        <v>0</v>
      </c>
      <c r="N40" s="14"/>
      <c r="O40" s="14"/>
      <c r="P40" s="14"/>
      <c r="Q40" s="14"/>
      <c r="R40" s="14"/>
      <c r="S40" s="34">
        <f t="shared" si="4"/>
        <v>0</v>
      </c>
      <c r="T40" s="14"/>
      <c r="U40" s="14"/>
      <c r="V40" s="14"/>
      <c r="W40" s="14"/>
      <c r="X40" s="14"/>
      <c r="Y40" s="34">
        <f t="shared" si="5"/>
        <v>248</v>
      </c>
      <c r="Z40" s="14">
        <f t="shared" si="6"/>
        <v>0</v>
      </c>
      <c r="AA40" s="14">
        <f t="shared" si="6"/>
        <v>0</v>
      </c>
      <c r="AB40" s="14">
        <f t="shared" si="7"/>
        <v>0</v>
      </c>
      <c r="AC40" s="14">
        <f t="shared" si="8"/>
        <v>248</v>
      </c>
      <c r="AD40" s="14">
        <f t="shared" si="8"/>
        <v>0</v>
      </c>
      <c r="AE40" s="17"/>
      <c r="AF40" s="16" t="s">
        <v>67</v>
      </c>
      <c r="AH40" s="36">
        <f t="shared" si="13"/>
        <v>0</v>
      </c>
    </row>
    <row r="41" spans="1:34" s="36" customFormat="1" ht="31.2" x14ac:dyDescent="0.3">
      <c r="A41" s="49" t="s">
        <v>96</v>
      </c>
      <c r="B41" s="61" t="s">
        <v>97</v>
      </c>
      <c r="C41" s="51" t="s">
        <v>87</v>
      </c>
      <c r="D41" s="56"/>
      <c r="E41" s="14"/>
      <c r="F41" s="14"/>
      <c r="G41" s="14">
        <f>85-58.1</f>
        <v>26.9</v>
      </c>
      <c r="H41" s="14">
        <f>G41</f>
        <v>26.9</v>
      </c>
      <c r="I41" s="14"/>
      <c r="J41" s="14"/>
      <c r="K41" s="14">
        <f>H41</f>
        <v>26.9</v>
      </c>
      <c r="L41" s="14">
        <v>0</v>
      </c>
      <c r="M41" s="34">
        <f t="shared" si="3"/>
        <v>0</v>
      </c>
      <c r="N41" s="14"/>
      <c r="O41" s="14"/>
      <c r="P41" s="14"/>
      <c r="Q41" s="14"/>
      <c r="R41" s="14"/>
      <c r="S41" s="34">
        <f t="shared" si="4"/>
        <v>0</v>
      </c>
      <c r="T41" s="14"/>
      <c r="U41" s="14"/>
      <c r="V41" s="14"/>
      <c r="W41" s="14"/>
      <c r="X41" s="14"/>
      <c r="Y41" s="34">
        <f t="shared" si="5"/>
        <v>26.9</v>
      </c>
      <c r="Z41" s="14">
        <f t="shared" si="6"/>
        <v>0</v>
      </c>
      <c r="AA41" s="14">
        <f t="shared" si="6"/>
        <v>0</v>
      </c>
      <c r="AB41" s="14">
        <f t="shared" si="7"/>
        <v>0</v>
      </c>
      <c r="AC41" s="14">
        <f t="shared" si="8"/>
        <v>26.9</v>
      </c>
      <c r="AD41" s="14">
        <f t="shared" si="8"/>
        <v>0</v>
      </c>
      <c r="AE41" s="17"/>
      <c r="AF41" s="16" t="s">
        <v>40</v>
      </c>
      <c r="AH41" s="36">
        <f t="shared" si="13"/>
        <v>0</v>
      </c>
    </row>
    <row r="42" spans="1:34" s="36" customFormat="1" ht="31.2" x14ac:dyDescent="0.3">
      <c r="A42" s="49" t="s">
        <v>98</v>
      </c>
      <c r="B42" s="61" t="s">
        <v>99</v>
      </c>
      <c r="C42" s="51" t="s">
        <v>87</v>
      </c>
      <c r="D42" s="56"/>
      <c r="E42" s="14"/>
      <c r="F42" s="14"/>
      <c r="G42" s="14">
        <v>47.5</v>
      </c>
      <c r="H42" s="14">
        <v>47.5</v>
      </c>
      <c r="I42" s="14"/>
      <c r="J42" s="14"/>
      <c r="K42" s="14">
        <v>47.5</v>
      </c>
      <c r="L42" s="14">
        <v>0</v>
      </c>
      <c r="M42" s="34">
        <f t="shared" si="3"/>
        <v>0</v>
      </c>
      <c r="N42" s="14"/>
      <c r="O42" s="14"/>
      <c r="P42" s="14"/>
      <c r="Q42" s="14"/>
      <c r="R42" s="14"/>
      <c r="S42" s="34">
        <f t="shared" si="4"/>
        <v>0</v>
      </c>
      <c r="T42" s="14"/>
      <c r="U42" s="14"/>
      <c r="V42" s="14"/>
      <c r="W42" s="14"/>
      <c r="X42" s="14"/>
      <c r="Y42" s="34">
        <f t="shared" si="5"/>
        <v>47.5</v>
      </c>
      <c r="Z42" s="14">
        <f t="shared" si="6"/>
        <v>0</v>
      </c>
      <c r="AA42" s="14">
        <f t="shared" si="6"/>
        <v>0</v>
      </c>
      <c r="AB42" s="14">
        <f t="shared" si="7"/>
        <v>0</v>
      </c>
      <c r="AC42" s="14">
        <f t="shared" si="8"/>
        <v>47.5</v>
      </c>
      <c r="AD42" s="14">
        <f t="shared" si="8"/>
        <v>0</v>
      </c>
      <c r="AE42" s="17"/>
      <c r="AF42" s="16" t="s">
        <v>37</v>
      </c>
      <c r="AH42" s="36">
        <f t="shared" si="13"/>
        <v>0</v>
      </c>
    </row>
    <row r="43" spans="1:34" s="36" customFormat="1" ht="31.2" x14ac:dyDescent="0.3">
      <c r="A43" s="49" t="s">
        <v>100</v>
      </c>
      <c r="B43" s="61" t="s">
        <v>101</v>
      </c>
      <c r="C43" s="51" t="s">
        <v>87</v>
      </c>
      <c r="D43" s="56"/>
      <c r="E43" s="14"/>
      <c r="F43" s="14"/>
      <c r="G43" s="14">
        <v>84</v>
      </c>
      <c r="H43" s="14">
        <v>84</v>
      </c>
      <c r="I43" s="14"/>
      <c r="J43" s="14"/>
      <c r="K43" s="14">
        <v>84</v>
      </c>
      <c r="L43" s="14">
        <v>0</v>
      </c>
      <c r="M43" s="34">
        <f t="shared" si="3"/>
        <v>0</v>
      </c>
      <c r="N43" s="14"/>
      <c r="O43" s="14"/>
      <c r="P43" s="14"/>
      <c r="Q43" s="14"/>
      <c r="R43" s="14"/>
      <c r="S43" s="34">
        <f t="shared" si="4"/>
        <v>0</v>
      </c>
      <c r="T43" s="14"/>
      <c r="U43" s="14"/>
      <c r="V43" s="14"/>
      <c r="W43" s="14"/>
      <c r="X43" s="14"/>
      <c r="Y43" s="34">
        <f t="shared" si="5"/>
        <v>84</v>
      </c>
      <c r="Z43" s="14">
        <f t="shared" si="6"/>
        <v>0</v>
      </c>
      <c r="AA43" s="14">
        <f t="shared" si="6"/>
        <v>0</v>
      </c>
      <c r="AB43" s="14">
        <f t="shared" si="7"/>
        <v>0</v>
      </c>
      <c r="AC43" s="14">
        <f t="shared" si="8"/>
        <v>84</v>
      </c>
      <c r="AD43" s="14">
        <f t="shared" si="8"/>
        <v>0</v>
      </c>
      <c r="AE43" s="17"/>
      <c r="AF43" s="16" t="s">
        <v>89</v>
      </c>
      <c r="AH43" s="36">
        <f t="shared" si="13"/>
        <v>0</v>
      </c>
    </row>
    <row r="44" spans="1:34" s="36" customFormat="1" ht="31.2" x14ac:dyDescent="0.3">
      <c r="A44" s="49" t="s">
        <v>102</v>
      </c>
      <c r="B44" s="61" t="s">
        <v>103</v>
      </c>
      <c r="C44" s="51" t="s">
        <v>87</v>
      </c>
      <c r="D44" s="56"/>
      <c r="E44" s="14"/>
      <c r="F44" s="14"/>
      <c r="G44" s="14">
        <v>94</v>
      </c>
      <c r="H44" s="14">
        <v>94</v>
      </c>
      <c r="I44" s="14"/>
      <c r="J44" s="14"/>
      <c r="K44" s="14">
        <v>94</v>
      </c>
      <c r="L44" s="14">
        <v>0</v>
      </c>
      <c r="M44" s="34">
        <f t="shared" si="3"/>
        <v>0</v>
      </c>
      <c r="N44" s="14"/>
      <c r="O44" s="14"/>
      <c r="P44" s="14"/>
      <c r="Q44" s="14"/>
      <c r="R44" s="14"/>
      <c r="S44" s="34">
        <f t="shared" si="4"/>
        <v>0</v>
      </c>
      <c r="T44" s="14"/>
      <c r="U44" s="14"/>
      <c r="V44" s="14"/>
      <c r="W44" s="14"/>
      <c r="X44" s="14"/>
      <c r="Y44" s="34">
        <f t="shared" si="5"/>
        <v>94</v>
      </c>
      <c r="Z44" s="14">
        <f t="shared" si="6"/>
        <v>0</v>
      </c>
      <c r="AA44" s="14">
        <f t="shared" si="6"/>
        <v>0</v>
      </c>
      <c r="AB44" s="14">
        <f t="shared" si="7"/>
        <v>0</v>
      </c>
      <c r="AC44" s="14">
        <f t="shared" si="8"/>
        <v>94</v>
      </c>
      <c r="AD44" s="14">
        <f t="shared" si="8"/>
        <v>0</v>
      </c>
      <c r="AE44" s="17"/>
      <c r="AF44" s="16" t="s">
        <v>40</v>
      </c>
      <c r="AH44" s="36">
        <f t="shared" si="13"/>
        <v>0</v>
      </c>
    </row>
    <row r="45" spans="1:34" s="36" customFormat="1" ht="31.2" x14ac:dyDescent="0.3">
      <c r="A45" s="49" t="s">
        <v>104</v>
      </c>
      <c r="B45" s="61" t="s">
        <v>105</v>
      </c>
      <c r="C45" s="51" t="s">
        <v>87</v>
      </c>
      <c r="D45" s="56"/>
      <c r="E45" s="14"/>
      <c r="F45" s="14"/>
      <c r="G45" s="14">
        <v>70</v>
      </c>
      <c r="H45" s="14">
        <v>70</v>
      </c>
      <c r="I45" s="14"/>
      <c r="J45" s="14"/>
      <c r="K45" s="14">
        <v>70</v>
      </c>
      <c r="L45" s="14">
        <v>0</v>
      </c>
      <c r="M45" s="34">
        <f t="shared" si="3"/>
        <v>0</v>
      </c>
      <c r="N45" s="14"/>
      <c r="O45" s="14"/>
      <c r="P45" s="14"/>
      <c r="Q45" s="14"/>
      <c r="R45" s="14"/>
      <c r="S45" s="34">
        <f t="shared" si="4"/>
        <v>0</v>
      </c>
      <c r="T45" s="14"/>
      <c r="U45" s="14"/>
      <c r="V45" s="14"/>
      <c r="W45" s="14"/>
      <c r="X45" s="14"/>
      <c r="Y45" s="34">
        <f t="shared" si="5"/>
        <v>70</v>
      </c>
      <c r="Z45" s="14">
        <f t="shared" si="6"/>
        <v>0</v>
      </c>
      <c r="AA45" s="14">
        <f t="shared" si="6"/>
        <v>0</v>
      </c>
      <c r="AB45" s="14">
        <f t="shared" si="7"/>
        <v>0</v>
      </c>
      <c r="AC45" s="14">
        <f t="shared" si="8"/>
        <v>70</v>
      </c>
      <c r="AD45" s="14">
        <f t="shared" si="8"/>
        <v>0</v>
      </c>
      <c r="AE45" s="17"/>
      <c r="AF45" s="16" t="s">
        <v>37</v>
      </c>
      <c r="AH45" s="36">
        <f t="shared" si="13"/>
        <v>0</v>
      </c>
    </row>
    <row r="46" spans="1:34" s="36" customFormat="1" ht="31.2" x14ac:dyDescent="0.3">
      <c r="A46" s="49" t="s">
        <v>106</v>
      </c>
      <c r="B46" s="61" t="s">
        <v>107</v>
      </c>
      <c r="C46" s="51" t="s">
        <v>87</v>
      </c>
      <c r="D46" s="56"/>
      <c r="E46" s="14"/>
      <c r="F46" s="14"/>
      <c r="G46" s="14">
        <f>61-21.9</f>
        <v>39.1</v>
      </c>
      <c r="H46" s="14">
        <f>G46</f>
        <v>39.1</v>
      </c>
      <c r="I46" s="14"/>
      <c r="J46" s="14"/>
      <c r="K46" s="14">
        <f>G46</f>
        <v>39.1</v>
      </c>
      <c r="L46" s="14">
        <v>0</v>
      </c>
      <c r="M46" s="34">
        <f t="shared" si="3"/>
        <v>0</v>
      </c>
      <c r="N46" s="14"/>
      <c r="O46" s="14"/>
      <c r="P46" s="14"/>
      <c r="Q46" s="14"/>
      <c r="R46" s="14"/>
      <c r="S46" s="34">
        <f t="shared" si="4"/>
        <v>0</v>
      </c>
      <c r="T46" s="14"/>
      <c r="U46" s="14"/>
      <c r="V46" s="14"/>
      <c r="W46" s="14"/>
      <c r="X46" s="14"/>
      <c r="Y46" s="34">
        <f t="shared" si="5"/>
        <v>39.1</v>
      </c>
      <c r="Z46" s="14">
        <f t="shared" si="6"/>
        <v>0</v>
      </c>
      <c r="AA46" s="14">
        <f t="shared" si="6"/>
        <v>0</v>
      </c>
      <c r="AB46" s="14">
        <f t="shared" si="7"/>
        <v>0</v>
      </c>
      <c r="AC46" s="14">
        <f t="shared" si="8"/>
        <v>39.1</v>
      </c>
      <c r="AD46" s="14">
        <f t="shared" si="8"/>
        <v>0</v>
      </c>
      <c r="AE46" s="17"/>
      <c r="AF46" s="16" t="s">
        <v>40</v>
      </c>
      <c r="AH46" s="36">
        <f t="shared" si="13"/>
        <v>0</v>
      </c>
    </row>
    <row r="47" spans="1:34" s="36" customFormat="1" ht="31.2" x14ac:dyDescent="0.3">
      <c r="A47" s="49" t="s">
        <v>108</v>
      </c>
      <c r="B47" s="61" t="s">
        <v>109</v>
      </c>
      <c r="C47" s="51" t="s">
        <v>87</v>
      </c>
      <c r="D47" s="56"/>
      <c r="E47" s="14"/>
      <c r="F47" s="14"/>
      <c r="G47" s="14">
        <v>239</v>
      </c>
      <c r="H47" s="14">
        <f t="shared" ref="H47:H48" si="14">G47</f>
        <v>239</v>
      </c>
      <c r="I47" s="14"/>
      <c r="J47" s="14"/>
      <c r="K47" s="14">
        <f t="shared" ref="K47:K48" si="15">G47</f>
        <v>239</v>
      </c>
      <c r="L47" s="14">
        <v>0</v>
      </c>
      <c r="M47" s="34">
        <f t="shared" si="3"/>
        <v>0</v>
      </c>
      <c r="N47" s="14"/>
      <c r="O47" s="14"/>
      <c r="P47" s="14"/>
      <c r="Q47" s="14"/>
      <c r="R47" s="14"/>
      <c r="S47" s="34">
        <f t="shared" si="4"/>
        <v>0</v>
      </c>
      <c r="T47" s="14"/>
      <c r="U47" s="14"/>
      <c r="V47" s="14"/>
      <c r="W47" s="14"/>
      <c r="X47" s="14"/>
      <c r="Y47" s="34">
        <f t="shared" si="5"/>
        <v>239</v>
      </c>
      <c r="Z47" s="14">
        <f t="shared" si="6"/>
        <v>0</v>
      </c>
      <c r="AA47" s="14">
        <f t="shared" si="6"/>
        <v>0</v>
      </c>
      <c r="AB47" s="14">
        <f t="shared" si="7"/>
        <v>0</v>
      </c>
      <c r="AC47" s="14">
        <f t="shared" si="8"/>
        <v>239</v>
      </c>
      <c r="AD47" s="14">
        <f t="shared" si="8"/>
        <v>0</v>
      </c>
      <c r="AE47" s="17"/>
      <c r="AF47" s="16" t="s">
        <v>40</v>
      </c>
      <c r="AH47" s="36">
        <f t="shared" si="13"/>
        <v>0</v>
      </c>
    </row>
    <row r="48" spans="1:34" s="36" customFormat="1" ht="31.2" x14ac:dyDescent="0.3">
      <c r="A48" s="49" t="s">
        <v>110</v>
      </c>
      <c r="B48" s="61" t="s">
        <v>111</v>
      </c>
      <c r="C48" s="51" t="s">
        <v>87</v>
      </c>
      <c r="D48" s="56"/>
      <c r="E48" s="14"/>
      <c r="F48" s="14"/>
      <c r="G48" s="14">
        <f>504-441.1</f>
        <v>62.899999999999977</v>
      </c>
      <c r="H48" s="14">
        <f t="shared" si="14"/>
        <v>62.899999999999977</v>
      </c>
      <c r="I48" s="14"/>
      <c r="J48" s="14"/>
      <c r="K48" s="14">
        <f t="shared" si="15"/>
        <v>62.899999999999977</v>
      </c>
      <c r="L48" s="14">
        <v>0</v>
      </c>
      <c r="M48" s="34">
        <f t="shared" si="3"/>
        <v>0</v>
      </c>
      <c r="N48" s="14"/>
      <c r="O48" s="14"/>
      <c r="P48" s="14"/>
      <c r="Q48" s="14"/>
      <c r="R48" s="14"/>
      <c r="S48" s="34">
        <f t="shared" si="4"/>
        <v>0</v>
      </c>
      <c r="T48" s="14"/>
      <c r="U48" s="14"/>
      <c r="V48" s="14"/>
      <c r="W48" s="14"/>
      <c r="X48" s="14"/>
      <c r="Y48" s="34">
        <f t="shared" si="5"/>
        <v>62.899999999999977</v>
      </c>
      <c r="Z48" s="14">
        <f t="shared" si="6"/>
        <v>0</v>
      </c>
      <c r="AA48" s="14">
        <f t="shared" si="6"/>
        <v>0</v>
      </c>
      <c r="AB48" s="14">
        <f t="shared" si="7"/>
        <v>0</v>
      </c>
      <c r="AC48" s="14">
        <f t="shared" si="8"/>
        <v>62.899999999999977</v>
      </c>
      <c r="AD48" s="14">
        <f t="shared" si="8"/>
        <v>0</v>
      </c>
      <c r="AE48" s="17"/>
      <c r="AF48" s="16" t="s">
        <v>40</v>
      </c>
      <c r="AH48" s="36">
        <f t="shared" si="13"/>
        <v>0</v>
      </c>
    </row>
    <row r="49" spans="1:34" s="36" customFormat="1" ht="50.25" customHeight="1" x14ac:dyDescent="0.3">
      <c r="A49" s="49" t="s">
        <v>112</v>
      </c>
      <c r="B49" s="61" t="s">
        <v>113</v>
      </c>
      <c r="C49" s="51" t="s">
        <v>87</v>
      </c>
      <c r="D49" s="56"/>
      <c r="E49" s="14"/>
      <c r="F49" s="14"/>
      <c r="G49" s="14">
        <f>56-38.2</f>
        <v>17.799999999999997</v>
      </c>
      <c r="H49" s="14">
        <f>G49</f>
        <v>17.799999999999997</v>
      </c>
      <c r="I49" s="14"/>
      <c r="J49" s="14"/>
      <c r="K49" s="14">
        <f>G49</f>
        <v>17.799999999999997</v>
      </c>
      <c r="L49" s="14">
        <v>0</v>
      </c>
      <c r="M49" s="34">
        <f t="shared" si="3"/>
        <v>0</v>
      </c>
      <c r="N49" s="14"/>
      <c r="O49" s="14"/>
      <c r="P49" s="14"/>
      <c r="Q49" s="14"/>
      <c r="R49" s="14"/>
      <c r="S49" s="34">
        <f t="shared" si="4"/>
        <v>0</v>
      </c>
      <c r="T49" s="14"/>
      <c r="U49" s="14"/>
      <c r="V49" s="14"/>
      <c r="W49" s="14"/>
      <c r="X49" s="14"/>
      <c r="Y49" s="34">
        <f t="shared" si="5"/>
        <v>17.799999999999997</v>
      </c>
      <c r="Z49" s="14">
        <f t="shared" si="6"/>
        <v>0</v>
      </c>
      <c r="AA49" s="14">
        <f t="shared" si="6"/>
        <v>0</v>
      </c>
      <c r="AB49" s="14">
        <f t="shared" si="7"/>
        <v>0</v>
      </c>
      <c r="AC49" s="14">
        <f t="shared" si="8"/>
        <v>17.799999999999997</v>
      </c>
      <c r="AD49" s="14">
        <f t="shared" si="8"/>
        <v>0</v>
      </c>
      <c r="AE49" s="17"/>
      <c r="AF49" s="16" t="s">
        <v>34</v>
      </c>
      <c r="AH49" s="36">
        <f t="shared" si="13"/>
        <v>0</v>
      </c>
    </row>
    <row r="50" spans="1:34" s="36" customFormat="1" ht="31.2" x14ac:dyDescent="0.3">
      <c r="A50" s="49" t="s">
        <v>114</v>
      </c>
      <c r="B50" s="61" t="s">
        <v>115</v>
      </c>
      <c r="C50" s="51" t="s">
        <v>87</v>
      </c>
      <c r="D50" s="56"/>
      <c r="E50" s="14"/>
      <c r="F50" s="14"/>
      <c r="G50" s="14">
        <f>288-237.2</f>
        <v>50.800000000000011</v>
      </c>
      <c r="H50" s="14">
        <f t="shared" ref="H50:H60" si="16">G50</f>
        <v>50.800000000000011</v>
      </c>
      <c r="I50" s="14"/>
      <c r="J50" s="14"/>
      <c r="K50" s="14">
        <f t="shared" ref="K50:K60" si="17">G50</f>
        <v>50.800000000000011</v>
      </c>
      <c r="L50" s="14">
        <v>0</v>
      </c>
      <c r="M50" s="34">
        <f t="shared" si="3"/>
        <v>0</v>
      </c>
      <c r="N50" s="14"/>
      <c r="O50" s="14"/>
      <c r="P50" s="14"/>
      <c r="Q50" s="14"/>
      <c r="R50" s="14"/>
      <c r="S50" s="34">
        <f t="shared" si="4"/>
        <v>0</v>
      </c>
      <c r="T50" s="14"/>
      <c r="U50" s="14"/>
      <c r="V50" s="14"/>
      <c r="W50" s="14"/>
      <c r="X50" s="14"/>
      <c r="Y50" s="34">
        <f t="shared" si="5"/>
        <v>50.800000000000011</v>
      </c>
      <c r="Z50" s="14">
        <f t="shared" si="6"/>
        <v>0</v>
      </c>
      <c r="AA50" s="14">
        <f t="shared" si="6"/>
        <v>0</v>
      </c>
      <c r="AB50" s="14">
        <f t="shared" si="7"/>
        <v>0</v>
      </c>
      <c r="AC50" s="14">
        <f t="shared" si="8"/>
        <v>50.800000000000011</v>
      </c>
      <c r="AD50" s="14">
        <f t="shared" si="8"/>
        <v>0</v>
      </c>
      <c r="AE50" s="17"/>
      <c r="AF50" s="16" t="s">
        <v>40</v>
      </c>
      <c r="AH50" s="36">
        <f t="shared" si="13"/>
        <v>0</v>
      </c>
    </row>
    <row r="51" spans="1:34" s="36" customFormat="1" ht="31.2" x14ac:dyDescent="0.3">
      <c r="A51" s="49" t="s">
        <v>116</v>
      </c>
      <c r="B51" s="61" t="s">
        <v>117</v>
      </c>
      <c r="C51" s="51" t="s">
        <v>87</v>
      </c>
      <c r="D51" s="56"/>
      <c r="E51" s="14"/>
      <c r="F51" s="14"/>
      <c r="G51" s="14">
        <f>556-436.5</f>
        <v>119.5</v>
      </c>
      <c r="H51" s="14">
        <f t="shared" si="16"/>
        <v>119.5</v>
      </c>
      <c r="I51" s="14"/>
      <c r="J51" s="14"/>
      <c r="K51" s="14">
        <f t="shared" si="17"/>
        <v>119.5</v>
      </c>
      <c r="L51" s="14">
        <v>0</v>
      </c>
      <c r="M51" s="34">
        <f t="shared" si="3"/>
        <v>0</v>
      </c>
      <c r="N51" s="14"/>
      <c r="O51" s="14"/>
      <c r="P51" s="14"/>
      <c r="Q51" s="14"/>
      <c r="R51" s="14"/>
      <c r="S51" s="34">
        <f t="shared" si="4"/>
        <v>0</v>
      </c>
      <c r="T51" s="14"/>
      <c r="U51" s="14"/>
      <c r="V51" s="14"/>
      <c r="W51" s="14"/>
      <c r="X51" s="14"/>
      <c r="Y51" s="34">
        <f t="shared" si="5"/>
        <v>119.5</v>
      </c>
      <c r="Z51" s="14">
        <f t="shared" si="6"/>
        <v>0</v>
      </c>
      <c r="AA51" s="14">
        <f t="shared" si="6"/>
        <v>0</v>
      </c>
      <c r="AB51" s="14">
        <f t="shared" si="7"/>
        <v>0</v>
      </c>
      <c r="AC51" s="14">
        <f t="shared" si="8"/>
        <v>119.5</v>
      </c>
      <c r="AD51" s="14">
        <f t="shared" si="8"/>
        <v>0</v>
      </c>
      <c r="AE51" s="17"/>
      <c r="AF51" s="16" t="s">
        <v>89</v>
      </c>
      <c r="AH51" s="36">
        <f t="shared" si="13"/>
        <v>0</v>
      </c>
    </row>
    <row r="52" spans="1:34" s="36" customFormat="1" ht="31.2" x14ac:dyDescent="0.3">
      <c r="A52" s="49" t="s">
        <v>118</v>
      </c>
      <c r="B52" s="61" t="s">
        <v>119</v>
      </c>
      <c r="C52" s="51" t="s">
        <v>87</v>
      </c>
      <c r="D52" s="56"/>
      <c r="E52" s="14"/>
      <c r="F52" s="14"/>
      <c r="G52" s="14">
        <f>300-240.7</f>
        <v>59.300000000000011</v>
      </c>
      <c r="H52" s="14">
        <f t="shared" si="16"/>
        <v>59.300000000000011</v>
      </c>
      <c r="I52" s="14"/>
      <c r="J52" s="14"/>
      <c r="K52" s="14">
        <f t="shared" si="17"/>
        <v>59.300000000000011</v>
      </c>
      <c r="L52" s="14">
        <v>0</v>
      </c>
      <c r="M52" s="34">
        <f t="shared" si="3"/>
        <v>0</v>
      </c>
      <c r="N52" s="14"/>
      <c r="O52" s="14"/>
      <c r="P52" s="14"/>
      <c r="Q52" s="14"/>
      <c r="R52" s="14"/>
      <c r="S52" s="34">
        <f t="shared" si="4"/>
        <v>0</v>
      </c>
      <c r="T52" s="14"/>
      <c r="U52" s="14"/>
      <c r="V52" s="14"/>
      <c r="W52" s="14"/>
      <c r="X52" s="14"/>
      <c r="Y52" s="34">
        <f t="shared" si="5"/>
        <v>59.300000000000011</v>
      </c>
      <c r="Z52" s="14">
        <f t="shared" si="6"/>
        <v>0</v>
      </c>
      <c r="AA52" s="14">
        <f t="shared" si="6"/>
        <v>0</v>
      </c>
      <c r="AB52" s="14">
        <f t="shared" si="7"/>
        <v>0</v>
      </c>
      <c r="AC52" s="14">
        <f t="shared" si="8"/>
        <v>59.300000000000011</v>
      </c>
      <c r="AD52" s="14">
        <f t="shared" si="8"/>
        <v>0</v>
      </c>
      <c r="AE52" s="17"/>
      <c r="AF52" s="16" t="s">
        <v>40</v>
      </c>
      <c r="AH52" s="36">
        <f t="shared" si="13"/>
        <v>0</v>
      </c>
    </row>
    <row r="53" spans="1:34" s="36" customFormat="1" ht="62.25" customHeight="1" x14ac:dyDescent="0.3">
      <c r="A53" s="49" t="s">
        <v>120</v>
      </c>
      <c r="B53" s="61" t="s">
        <v>121</v>
      </c>
      <c r="C53" s="51" t="s">
        <v>87</v>
      </c>
      <c r="D53" s="56"/>
      <c r="E53" s="14"/>
      <c r="F53" s="14"/>
      <c r="G53" s="14">
        <f>776-688.4</f>
        <v>87.600000000000023</v>
      </c>
      <c r="H53" s="14">
        <f t="shared" si="16"/>
        <v>87.600000000000023</v>
      </c>
      <c r="I53" s="14"/>
      <c r="J53" s="14"/>
      <c r="K53" s="14">
        <f t="shared" si="17"/>
        <v>87.600000000000023</v>
      </c>
      <c r="L53" s="14">
        <v>0</v>
      </c>
      <c r="M53" s="34">
        <f t="shared" si="3"/>
        <v>0</v>
      </c>
      <c r="N53" s="14"/>
      <c r="O53" s="14"/>
      <c r="P53" s="14"/>
      <c r="Q53" s="14"/>
      <c r="R53" s="14"/>
      <c r="S53" s="34">
        <f t="shared" si="4"/>
        <v>0</v>
      </c>
      <c r="T53" s="14"/>
      <c r="U53" s="14"/>
      <c r="V53" s="14"/>
      <c r="W53" s="14"/>
      <c r="X53" s="14"/>
      <c r="Y53" s="34">
        <f t="shared" si="5"/>
        <v>87.600000000000023</v>
      </c>
      <c r="Z53" s="14">
        <f t="shared" si="6"/>
        <v>0</v>
      </c>
      <c r="AA53" s="14">
        <f t="shared" si="6"/>
        <v>0</v>
      </c>
      <c r="AB53" s="14">
        <f t="shared" si="7"/>
        <v>0</v>
      </c>
      <c r="AC53" s="14">
        <f t="shared" si="8"/>
        <v>87.600000000000023</v>
      </c>
      <c r="AD53" s="14">
        <f t="shared" si="8"/>
        <v>0</v>
      </c>
      <c r="AE53" s="17"/>
      <c r="AF53" s="16" t="s">
        <v>31</v>
      </c>
      <c r="AH53" s="36">
        <f t="shared" si="13"/>
        <v>0</v>
      </c>
    </row>
    <row r="54" spans="1:34" s="36" customFormat="1" ht="31.2" x14ac:dyDescent="0.3">
      <c r="A54" s="49" t="s">
        <v>122</v>
      </c>
      <c r="B54" s="61" t="s">
        <v>123</v>
      </c>
      <c r="C54" s="51" t="s">
        <v>87</v>
      </c>
      <c r="D54" s="56"/>
      <c r="E54" s="14"/>
      <c r="F54" s="14"/>
      <c r="G54" s="14">
        <f>313-275.7</f>
        <v>37.300000000000011</v>
      </c>
      <c r="H54" s="14">
        <f t="shared" si="16"/>
        <v>37.300000000000011</v>
      </c>
      <c r="I54" s="14"/>
      <c r="J54" s="14"/>
      <c r="K54" s="14">
        <f t="shared" si="17"/>
        <v>37.300000000000011</v>
      </c>
      <c r="L54" s="14">
        <v>0</v>
      </c>
      <c r="M54" s="34">
        <f t="shared" si="3"/>
        <v>0</v>
      </c>
      <c r="N54" s="14"/>
      <c r="O54" s="14"/>
      <c r="P54" s="14"/>
      <c r="Q54" s="14"/>
      <c r="R54" s="14"/>
      <c r="S54" s="34">
        <f t="shared" si="4"/>
        <v>0</v>
      </c>
      <c r="T54" s="14"/>
      <c r="U54" s="14"/>
      <c r="V54" s="14"/>
      <c r="W54" s="14"/>
      <c r="X54" s="14"/>
      <c r="Y54" s="34">
        <f t="shared" si="5"/>
        <v>37.300000000000011</v>
      </c>
      <c r="Z54" s="14">
        <f t="shared" si="6"/>
        <v>0</v>
      </c>
      <c r="AA54" s="14">
        <f t="shared" si="6"/>
        <v>0</v>
      </c>
      <c r="AB54" s="14">
        <f t="shared" si="7"/>
        <v>0</v>
      </c>
      <c r="AC54" s="14">
        <f t="shared" si="8"/>
        <v>37.300000000000011</v>
      </c>
      <c r="AD54" s="14">
        <f t="shared" si="8"/>
        <v>0</v>
      </c>
      <c r="AE54" s="17"/>
      <c r="AF54" s="16" t="s">
        <v>37</v>
      </c>
      <c r="AH54" s="36">
        <f t="shared" si="13"/>
        <v>0</v>
      </c>
    </row>
    <row r="55" spans="1:34" s="36" customFormat="1" ht="57" customHeight="1" x14ac:dyDescent="0.3">
      <c r="A55" s="49" t="s">
        <v>124</v>
      </c>
      <c r="B55" s="61" t="s">
        <v>125</v>
      </c>
      <c r="C55" s="51" t="s">
        <v>87</v>
      </c>
      <c r="D55" s="56"/>
      <c r="E55" s="14"/>
      <c r="F55" s="14"/>
      <c r="G55" s="14">
        <f>417-380.7</f>
        <v>36.300000000000011</v>
      </c>
      <c r="H55" s="14">
        <f t="shared" si="16"/>
        <v>36.300000000000011</v>
      </c>
      <c r="I55" s="14"/>
      <c r="J55" s="14"/>
      <c r="K55" s="14">
        <f t="shared" si="17"/>
        <v>36.300000000000011</v>
      </c>
      <c r="L55" s="14">
        <v>0</v>
      </c>
      <c r="M55" s="34">
        <f t="shared" si="3"/>
        <v>0</v>
      </c>
      <c r="N55" s="14"/>
      <c r="O55" s="14"/>
      <c r="P55" s="14"/>
      <c r="Q55" s="14"/>
      <c r="R55" s="14"/>
      <c r="S55" s="34">
        <f t="shared" si="4"/>
        <v>0</v>
      </c>
      <c r="T55" s="14"/>
      <c r="U55" s="14"/>
      <c r="V55" s="14"/>
      <c r="W55" s="14"/>
      <c r="X55" s="14"/>
      <c r="Y55" s="34">
        <f t="shared" si="5"/>
        <v>36.300000000000011</v>
      </c>
      <c r="Z55" s="14">
        <f t="shared" si="6"/>
        <v>0</v>
      </c>
      <c r="AA55" s="14">
        <f t="shared" si="6"/>
        <v>0</v>
      </c>
      <c r="AB55" s="14">
        <f t="shared" si="7"/>
        <v>0</v>
      </c>
      <c r="AC55" s="14">
        <f t="shared" si="8"/>
        <v>36.300000000000011</v>
      </c>
      <c r="AD55" s="14">
        <f t="shared" si="8"/>
        <v>0</v>
      </c>
      <c r="AE55" s="17"/>
      <c r="AF55" s="16" t="s">
        <v>45</v>
      </c>
      <c r="AH55" s="36">
        <f t="shared" si="13"/>
        <v>0</v>
      </c>
    </row>
    <row r="56" spans="1:34" s="36" customFormat="1" ht="31.2" x14ac:dyDescent="0.3">
      <c r="A56" s="49" t="s">
        <v>126</v>
      </c>
      <c r="B56" s="61" t="s">
        <v>127</v>
      </c>
      <c r="C56" s="51" t="s">
        <v>87</v>
      </c>
      <c r="D56" s="56"/>
      <c r="E56" s="14"/>
      <c r="F56" s="14"/>
      <c r="G56" s="14">
        <f>295-247.9</f>
        <v>47.099999999999994</v>
      </c>
      <c r="H56" s="14">
        <f t="shared" si="16"/>
        <v>47.099999999999994</v>
      </c>
      <c r="I56" s="14"/>
      <c r="J56" s="14"/>
      <c r="K56" s="14">
        <f t="shared" si="17"/>
        <v>47.099999999999994</v>
      </c>
      <c r="L56" s="14">
        <v>0</v>
      </c>
      <c r="M56" s="34">
        <f t="shared" si="3"/>
        <v>0</v>
      </c>
      <c r="N56" s="14"/>
      <c r="O56" s="14"/>
      <c r="P56" s="14"/>
      <c r="Q56" s="14"/>
      <c r="R56" s="14"/>
      <c r="S56" s="34">
        <f t="shared" si="4"/>
        <v>0</v>
      </c>
      <c r="T56" s="14"/>
      <c r="U56" s="14"/>
      <c r="V56" s="14"/>
      <c r="W56" s="14"/>
      <c r="X56" s="14"/>
      <c r="Y56" s="34">
        <f t="shared" si="5"/>
        <v>47.099999999999994</v>
      </c>
      <c r="Z56" s="14">
        <f t="shared" si="6"/>
        <v>0</v>
      </c>
      <c r="AA56" s="14">
        <f t="shared" si="6"/>
        <v>0</v>
      </c>
      <c r="AB56" s="14">
        <f t="shared" si="7"/>
        <v>0</v>
      </c>
      <c r="AC56" s="14">
        <f t="shared" si="8"/>
        <v>47.099999999999994</v>
      </c>
      <c r="AD56" s="14">
        <f t="shared" si="8"/>
        <v>0</v>
      </c>
      <c r="AE56" s="17"/>
      <c r="AF56" s="16" t="s">
        <v>89</v>
      </c>
      <c r="AH56" s="36">
        <f t="shared" si="13"/>
        <v>0</v>
      </c>
    </row>
    <row r="57" spans="1:34" s="36" customFormat="1" ht="40.5" customHeight="1" x14ac:dyDescent="0.3">
      <c r="A57" s="49" t="s">
        <v>128</v>
      </c>
      <c r="B57" s="61" t="s">
        <v>129</v>
      </c>
      <c r="C57" s="51" t="s">
        <v>87</v>
      </c>
      <c r="D57" s="56"/>
      <c r="E57" s="14"/>
      <c r="F57" s="14"/>
      <c r="G57" s="14">
        <f>341-305.9</f>
        <v>35.100000000000023</v>
      </c>
      <c r="H57" s="14">
        <f t="shared" si="16"/>
        <v>35.100000000000023</v>
      </c>
      <c r="I57" s="14"/>
      <c r="J57" s="14"/>
      <c r="K57" s="14">
        <f t="shared" si="17"/>
        <v>35.100000000000023</v>
      </c>
      <c r="L57" s="14">
        <v>0</v>
      </c>
      <c r="M57" s="34">
        <f t="shared" si="3"/>
        <v>0</v>
      </c>
      <c r="N57" s="14"/>
      <c r="O57" s="14"/>
      <c r="P57" s="14"/>
      <c r="Q57" s="14"/>
      <c r="R57" s="14"/>
      <c r="S57" s="34">
        <f t="shared" si="4"/>
        <v>0</v>
      </c>
      <c r="T57" s="14"/>
      <c r="U57" s="14"/>
      <c r="V57" s="14"/>
      <c r="W57" s="14"/>
      <c r="X57" s="14"/>
      <c r="Y57" s="34">
        <f t="shared" si="5"/>
        <v>35.100000000000023</v>
      </c>
      <c r="Z57" s="14">
        <f t="shared" si="6"/>
        <v>0</v>
      </c>
      <c r="AA57" s="14">
        <f t="shared" si="6"/>
        <v>0</v>
      </c>
      <c r="AB57" s="14">
        <f t="shared" si="7"/>
        <v>0</v>
      </c>
      <c r="AC57" s="14">
        <f t="shared" si="8"/>
        <v>35.100000000000023</v>
      </c>
      <c r="AD57" s="14">
        <f t="shared" si="8"/>
        <v>0</v>
      </c>
      <c r="AE57" s="17"/>
      <c r="AF57" s="16" t="s">
        <v>40</v>
      </c>
      <c r="AH57" s="36">
        <f t="shared" si="13"/>
        <v>0</v>
      </c>
    </row>
    <row r="58" spans="1:34" s="36" customFormat="1" ht="42.75" customHeight="1" x14ac:dyDescent="0.3">
      <c r="A58" s="49" t="s">
        <v>130</v>
      </c>
      <c r="B58" s="61" t="s">
        <v>131</v>
      </c>
      <c r="C58" s="51" t="s">
        <v>87</v>
      </c>
      <c r="D58" s="56"/>
      <c r="E58" s="14"/>
      <c r="F58" s="14"/>
      <c r="G58" s="14">
        <f>491-442.3</f>
        <v>48.699999999999989</v>
      </c>
      <c r="H58" s="14">
        <f t="shared" si="16"/>
        <v>48.699999999999989</v>
      </c>
      <c r="I58" s="14"/>
      <c r="J58" s="14"/>
      <c r="K58" s="14">
        <f t="shared" si="17"/>
        <v>48.699999999999989</v>
      </c>
      <c r="L58" s="14">
        <v>0</v>
      </c>
      <c r="M58" s="34">
        <f t="shared" si="3"/>
        <v>0</v>
      </c>
      <c r="N58" s="14"/>
      <c r="O58" s="14"/>
      <c r="P58" s="14"/>
      <c r="Q58" s="14"/>
      <c r="R58" s="14"/>
      <c r="S58" s="34">
        <f t="shared" si="4"/>
        <v>0</v>
      </c>
      <c r="T58" s="14"/>
      <c r="U58" s="14"/>
      <c r="V58" s="14"/>
      <c r="W58" s="14"/>
      <c r="X58" s="14"/>
      <c r="Y58" s="34">
        <f t="shared" si="5"/>
        <v>48.699999999999989</v>
      </c>
      <c r="Z58" s="14">
        <f t="shared" si="6"/>
        <v>0</v>
      </c>
      <c r="AA58" s="14">
        <f t="shared" si="6"/>
        <v>0</v>
      </c>
      <c r="AB58" s="14">
        <f t="shared" si="7"/>
        <v>0</v>
      </c>
      <c r="AC58" s="14">
        <f t="shared" si="8"/>
        <v>48.699999999999989</v>
      </c>
      <c r="AD58" s="14">
        <f t="shared" si="8"/>
        <v>0</v>
      </c>
      <c r="AE58" s="17"/>
      <c r="AF58" s="16" t="s">
        <v>40</v>
      </c>
      <c r="AH58" s="36">
        <f t="shared" si="13"/>
        <v>0</v>
      </c>
    </row>
    <row r="59" spans="1:34" s="36" customFormat="1" ht="31.2" x14ac:dyDescent="0.3">
      <c r="A59" s="49" t="s">
        <v>132</v>
      </c>
      <c r="B59" s="61" t="s">
        <v>133</v>
      </c>
      <c r="C59" s="51" t="s">
        <v>87</v>
      </c>
      <c r="D59" s="56"/>
      <c r="E59" s="14"/>
      <c r="F59" s="14"/>
      <c r="G59" s="14">
        <v>138</v>
      </c>
      <c r="H59" s="14">
        <f t="shared" si="16"/>
        <v>138</v>
      </c>
      <c r="I59" s="14"/>
      <c r="J59" s="14"/>
      <c r="K59" s="14">
        <f t="shared" si="17"/>
        <v>138</v>
      </c>
      <c r="L59" s="14">
        <v>0</v>
      </c>
      <c r="M59" s="34">
        <f t="shared" si="3"/>
        <v>0</v>
      </c>
      <c r="N59" s="14"/>
      <c r="O59" s="14"/>
      <c r="P59" s="14"/>
      <c r="Q59" s="14"/>
      <c r="R59" s="14"/>
      <c r="S59" s="34">
        <f t="shared" si="4"/>
        <v>0</v>
      </c>
      <c r="T59" s="14"/>
      <c r="U59" s="14"/>
      <c r="V59" s="14"/>
      <c r="W59" s="14"/>
      <c r="X59" s="14"/>
      <c r="Y59" s="34">
        <f t="shared" si="5"/>
        <v>138</v>
      </c>
      <c r="Z59" s="14">
        <f t="shared" si="6"/>
        <v>0</v>
      </c>
      <c r="AA59" s="14">
        <f t="shared" si="6"/>
        <v>0</v>
      </c>
      <c r="AB59" s="14">
        <f t="shared" si="7"/>
        <v>0</v>
      </c>
      <c r="AC59" s="14">
        <f t="shared" si="8"/>
        <v>138</v>
      </c>
      <c r="AD59" s="14">
        <f t="shared" si="8"/>
        <v>0</v>
      </c>
      <c r="AE59" s="17"/>
      <c r="AF59" s="16" t="s">
        <v>37</v>
      </c>
      <c r="AH59" s="36">
        <f t="shared" si="13"/>
        <v>0</v>
      </c>
    </row>
    <row r="60" spans="1:34" s="36" customFormat="1" ht="31.2" x14ac:dyDescent="0.3">
      <c r="A60" s="49" t="s">
        <v>134</v>
      </c>
      <c r="B60" s="61" t="s">
        <v>135</v>
      </c>
      <c r="C60" s="51" t="s">
        <v>87</v>
      </c>
      <c r="D60" s="56"/>
      <c r="E60" s="14"/>
      <c r="F60" s="14"/>
      <c r="G60" s="14">
        <v>50</v>
      </c>
      <c r="H60" s="14">
        <f t="shared" si="16"/>
        <v>50</v>
      </c>
      <c r="I60" s="14"/>
      <c r="J60" s="14"/>
      <c r="K60" s="14">
        <f t="shared" si="17"/>
        <v>50</v>
      </c>
      <c r="L60" s="14">
        <v>0</v>
      </c>
      <c r="M60" s="34">
        <f t="shared" si="3"/>
        <v>0</v>
      </c>
      <c r="N60" s="14"/>
      <c r="O60" s="14"/>
      <c r="P60" s="14"/>
      <c r="Q60" s="14"/>
      <c r="R60" s="14"/>
      <c r="S60" s="34">
        <f t="shared" si="4"/>
        <v>0</v>
      </c>
      <c r="T60" s="14"/>
      <c r="U60" s="14"/>
      <c r="V60" s="14"/>
      <c r="W60" s="14"/>
      <c r="X60" s="14"/>
      <c r="Y60" s="34">
        <f t="shared" si="5"/>
        <v>50</v>
      </c>
      <c r="Z60" s="14">
        <f t="shared" si="6"/>
        <v>0</v>
      </c>
      <c r="AA60" s="14">
        <f t="shared" si="6"/>
        <v>0</v>
      </c>
      <c r="AB60" s="14">
        <f t="shared" si="7"/>
        <v>0</v>
      </c>
      <c r="AC60" s="14">
        <f t="shared" si="8"/>
        <v>50</v>
      </c>
      <c r="AD60" s="14">
        <f t="shared" si="8"/>
        <v>0</v>
      </c>
      <c r="AE60" s="17"/>
      <c r="AF60" s="16" t="s">
        <v>37</v>
      </c>
      <c r="AH60" s="36">
        <f t="shared" si="13"/>
        <v>0</v>
      </c>
    </row>
    <row r="61" spans="1:34" s="36" customFormat="1" ht="39" customHeight="1" x14ac:dyDescent="0.3">
      <c r="A61" s="49" t="s">
        <v>136</v>
      </c>
      <c r="B61" s="62" t="s">
        <v>137</v>
      </c>
      <c r="C61" s="51" t="s">
        <v>87</v>
      </c>
      <c r="D61" s="56"/>
      <c r="E61" s="14"/>
      <c r="F61" s="14"/>
      <c r="G61" s="14">
        <f>H61</f>
        <v>25.3</v>
      </c>
      <c r="H61" s="14">
        <v>25.3</v>
      </c>
      <c r="I61" s="14"/>
      <c r="J61" s="14"/>
      <c r="K61" s="14">
        <v>25.3</v>
      </c>
      <c r="L61" s="14">
        <v>0</v>
      </c>
      <c r="M61" s="34">
        <f t="shared" si="3"/>
        <v>25.331900000000001</v>
      </c>
      <c r="N61" s="14"/>
      <c r="O61" s="14"/>
      <c r="P61" s="14">
        <v>25.331900000000001</v>
      </c>
      <c r="Q61" s="14"/>
      <c r="R61" s="14"/>
      <c r="S61" s="34">
        <f t="shared" si="4"/>
        <v>25.3</v>
      </c>
      <c r="T61" s="14"/>
      <c r="U61" s="14"/>
      <c r="V61" s="14"/>
      <c r="W61" s="14">
        <f>K61</f>
        <v>25.3</v>
      </c>
      <c r="X61" s="14"/>
      <c r="Y61" s="34">
        <f t="shared" si="5"/>
        <v>25.331900000000001</v>
      </c>
      <c r="Z61" s="14">
        <f t="shared" si="6"/>
        <v>0</v>
      </c>
      <c r="AA61" s="14">
        <f t="shared" si="6"/>
        <v>0</v>
      </c>
      <c r="AB61" s="14">
        <f t="shared" si="7"/>
        <v>25.331900000000001</v>
      </c>
      <c r="AC61" s="14">
        <f t="shared" si="8"/>
        <v>0</v>
      </c>
      <c r="AD61" s="14">
        <f t="shared" si="8"/>
        <v>0</v>
      </c>
      <c r="AE61" s="17"/>
      <c r="AF61" s="16"/>
      <c r="AH61" s="36">
        <f t="shared" si="13"/>
        <v>0</v>
      </c>
    </row>
    <row r="62" spans="1:34" s="36" customFormat="1" ht="44.25" customHeight="1" x14ac:dyDescent="0.3">
      <c r="A62" s="49" t="s">
        <v>138</v>
      </c>
      <c r="B62" s="62" t="s">
        <v>139</v>
      </c>
      <c r="C62" s="51" t="s">
        <v>87</v>
      </c>
      <c r="D62" s="56"/>
      <c r="E62" s="14"/>
      <c r="F62" s="14"/>
      <c r="G62" s="14">
        <f>H62</f>
        <v>28.6</v>
      </c>
      <c r="H62" s="14">
        <v>28.6</v>
      </c>
      <c r="I62" s="14"/>
      <c r="J62" s="14"/>
      <c r="K62" s="14">
        <v>28.6</v>
      </c>
      <c r="L62" s="14">
        <v>0</v>
      </c>
      <c r="M62" s="34">
        <f t="shared" si="3"/>
        <v>28.568100000000001</v>
      </c>
      <c r="N62" s="14"/>
      <c r="O62" s="14"/>
      <c r="P62" s="14">
        <v>28.568100000000001</v>
      </c>
      <c r="Q62" s="14"/>
      <c r="R62" s="14"/>
      <c r="S62" s="34">
        <f t="shared" si="4"/>
        <v>28.6</v>
      </c>
      <c r="T62" s="14"/>
      <c r="U62" s="14"/>
      <c r="V62" s="14"/>
      <c r="W62" s="14">
        <f>K62</f>
        <v>28.6</v>
      </c>
      <c r="X62" s="14"/>
      <c r="Y62" s="34">
        <f t="shared" si="5"/>
        <v>28.568100000000001</v>
      </c>
      <c r="Z62" s="14">
        <f t="shared" si="6"/>
        <v>0</v>
      </c>
      <c r="AA62" s="14">
        <f t="shared" si="6"/>
        <v>0</v>
      </c>
      <c r="AB62" s="14">
        <f t="shared" si="7"/>
        <v>28.568100000000001</v>
      </c>
      <c r="AC62" s="14">
        <f t="shared" si="8"/>
        <v>0</v>
      </c>
      <c r="AD62" s="14">
        <f t="shared" si="8"/>
        <v>0</v>
      </c>
      <c r="AE62" s="17"/>
      <c r="AF62" s="16"/>
      <c r="AH62" s="36">
        <f t="shared" si="13"/>
        <v>0</v>
      </c>
    </row>
    <row r="63" spans="1:34" s="36" customFormat="1" ht="31.2" x14ac:dyDescent="0.3">
      <c r="A63" s="49" t="s">
        <v>140</v>
      </c>
      <c r="B63" s="61" t="s">
        <v>141</v>
      </c>
      <c r="C63" s="51" t="s">
        <v>87</v>
      </c>
      <c r="D63" s="56"/>
      <c r="E63" s="14"/>
      <c r="F63" s="14"/>
      <c r="G63" s="14">
        <v>93</v>
      </c>
      <c r="H63" s="14">
        <v>93</v>
      </c>
      <c r="I63" s="14"/>
      <c r="J63" s="14"/>
      <c r="K63" s="14">
        <v>93</v>
      </c>
      <c r="L63" s="14">
        <v>0</v>
      </c>
      <c r="M63" s="34">
        <f t="shared" si="3"/>
        <v>0</v>
      </c>
      <c r="N63" s="14"/>
      <c r="O63" s="14"/>
      <c r="P63" s="14"/>
      <c r="Q63" s="14"/>
      <c r="R63" s="14"/>
      <c r="S63" s="34">
        <f t="shared" si="4"/>
        <v>0</v>
      </c>
      <c r="T63" s="14"/>
      <c r="U63" s="14"/>
      <c r="V63" s="14"/>
      <c r="W63" s="14"/>
      <c r="X63" s="14"/>
      <c r="Y63" s="34">
        <f t="shared" si="5"/>
        <v>93</v>
      </c>
      <c r="Z63" s="14">
        <f t="shared" si="6"/>
        <v>0</v>
      </c>
      <c r="AA63" s="14">
        <f t="shared" si="6"/>
        <v>0</v>
      </c>
      <c r="AB63" s="14">
        <f t="shared" si="7"/>
        <v>0</v>
      </c>
      <c r="AC63" s="14">
        <f t="shared" si="8"/>
        <v>93</v>
      </c>
      <c r="AD63" s="14">
        <f t="shared" si="8"/>
        <v>0</v>
      </c>
      <c r="AE63" s="17"/>
      <c r="AF63" s="16" t="s">
        <v>37</v>
      </c>
      <c r="AH63" s="36">
        <f t="shared" si="13"/>
        <v>0</v>
      </c>
    </row>
    <row r="64" spans="1:34" s="36" customFormat="1" ht="31.2" x14ac:dyDescent="0.3">
      <c r="A64" s="49" t="s">
        <v>142</v>
      </c>
      <c r="B64" s="57" t="s">
        <v>143</v>
      </c>
      <c r="C64" s="51" t="s">
        <v>87</v>
      </c>
      <c r="D64" s="56"/>
      <c r="E64" s="14"/>
      <c r="F64" s="14"/>
      <c r="G64" s="14">
        <f>H64</f>
        <v>49</v>
      </c>
      <c r="H64" s="14">
        <v>49</v>
      </c>
      <c r="I64" s="14"/>
      <c r="J64" s="14"/>
      <c r="K64" s="63">
        <v>49</v>
      </c>
      <c r="L64" s="14">
        <v>0</v>
      </c>
      <c r="M64" s="34">
        <f t="shared" si="3"/>
        <v>0</v>
      </c>
      <c r="N64" s="14"/>
      <c r="O64" s="14"/>
      <c r="P64" s="14"/>
      <c r="Q64" s="14"/>
      <c r="R64" s="14"/>
      <c r="S64" s="34">
        <f t="shared" si="4"/>
        <v>0</v>
      </c>
      <c r="T64" s="14"/>
      <c r="U64" s="14"/>
      <c r="V64" s="14"/>
      <c r="W64" s="14"/>
      <c r="X64" s="14"/>
      <c r="Y64" s="34">
        <f t="shared" si="5"/>
        <v>49</v>
      </c>
      <c r="Z64" s="14">
        <f t="shared" si="6"/>
        <v>0</v>
      </c>
      <c r="AA64" s="14">
        <f t="shared" si="6"/>
        <v>0</v>
      </c>
      <c r="AB64" s="14">
        <f t="shared" si="7"/>
        <v>0</v>
      </c>
      <c r="AC64" s="14">
        <f t="shared" si="8"/>
        <v>49</v>
      </c>
      <c r="AD64" s="14">
        <f t="shared" si="8"/>
        <v>0</v>
      </c>
      <c r="AE64" s="17"/>
      <c r="AF64" s="16"/>
      <c r="AH64" s="36">
        <f t="shared" si="13"/>
        <v>0</v>
      </c>
    </row>
    <row r="65" spans="1:34" s="36" customFormat="1" ht="31.2" x14ac:dyDescent="0.3">
      <c r="A65" s="49" t="s">
        <v>144</v>
      </c>
      <c r="B65" s="57" t="s">
        <v>145</v>
      </c>
      <c r="C65" s="51" t="s">
        <v>87</v>
      </c>
      <c r="D65" s="56"/>
      <c r="E65" s="14"/>
      <c r="F65" s="14"/>
      <c r="G65" s="14">
        <f t="shared" ref="G65:G73" si="18">H65</f>
        <v>9</v>
      </c>
      <c r="H65" s="14">
        <v>9</v>
      </c>
      <c r="I65" s="14"/>
      <c r="J65" s="14"/>
      <c r="K65" s="63">
        <v>9</v>
      </c>
      <c r="L65" s="14">
        <v>0</v>
      </c>
      <c r="M65" s="34">
        <f t="shared" si="3"/>
        <v>0</v>
      </c>
      <c r="N65" s="14"/>
      <c r="O65" s="14"/>
      <c r="P65" s="14"/>
      <c r="Q65" s="14"/>
      <c r="R65" s="14"/>
      <c r="S65" s="34">
        <f t="shared" si="4"/>
        <v>0</v>
      </c>
      <c r="T65" s="14"/>
      <c r="U65" s="14"/>
      <c r="V65" s="14"/>
      <c r="W65" s="14"/>
      <c r="X65" s="14"/>
      <c r="Y65" s="34">
        <f t="shared" si="5"/>
        <v>9</v>
      </c>
      <c r="Z65" s="14">
        <f t="shared" si="6"/>
        <v>0</v>
      </c>
      <c r="AA65" s="14">
        <f t="shared" si="6"/>
        <v>0</v>
      </c>
      <c r="AB65" s="14">
        <f t="shared" si="7"/>
        <v>0</v>
      </c>
      <c r="AC65" s="14">
        <f t="shared" si="8"/>
        <v>9</v>
      </c>
      <c r="AD65" s="14">
        <f t="shared" si="8"/>
        <v>0</v>
      </c>
      <c r="AE65" s="17"/>
      <c r="AF65" s="16"/>
      <c r="AH65" s="36">
        <f t="shared" si="13"/>
        <v>0</v>
      </c>
    </row>
    <row r="66" spans="1:34" s="36" customFormat="1" ht="31.2" x14ac:dyDescent="0.3">
      <c r="A66" s="49" t="s">
        <v>146</v>
      </c>
      <c r="B66" s="57" t="s">
        <v>147</v>
      </c>
      <c r="C66" s="51" t="s">
        <v>87</v>
      </c>
      <c r="D66" s="56"/>
      <c r="E66" s="14"/>
      <c r="F66" s="14"/>
      <c r="G66" s="14">
        <f t="shared" si="18"/>
        <v>19</v>
      </c>
      <c r="H66" s="14">
        <v>19</v>
      </c>
      <c r="I66" s="14"/>
      <c r="J66" s="14"/>
      <c r="K66" s="63">
        <v>19</v>
      </c>
      <c r="L66" s="14">
        <v>0</v>
      </c>
      <c r="M66" s="34">
        <f t="shared" si="3"/>
        <v>0</v>
      </c>
      <c r="N66" s="14"/>
      <c r="O66" s="14"/>
      <c r="P66" s="14"/>
      <c r="Q66" s="14"/>
      <c r="R66" s="14"/>
      <c r="S66" s="34">
        <f t="shared" si="4"/>
        <v>0</v>
      </c>
      <c r="T66" s="14"/>
      <c r="U66" s="14"/>
      <c r="V66" s="14"/>
      <c r="W66" s="14"/>
      <c r="X66" s="14"/>
      <c r="Y66" s="34">
        <f t="shared" si="5"/>
        <v>19</v>
      </c>
      <c r="Z66" s="14">
        <f t="shared" si="6"/>
        <v>0</v>
      </c>
      <c r="AA66" s="14">
        <f t="shared" si="6"/>
        <v>0</v>
      </c>
      <c r="AB66" s="14">
        <f t="shared" si="7"/>
        <v>0</v>
      </c>
      <c r="AC66" s="14">
        <f t="shared" si="8"/>
        <v>19</v>
      </c>
      <c r="AD66" s="14">
        <f t="shared" si="8"/>
        <v>0</v>
      </c>
      <c r="AE66" s="17"/>
      <c r="AF66" s="16"/>
      <c r="AH66" s="36">
        <f t="shared" si="13"/>
        <v>0</v>
      </c>
    </row>
    <row r="67" spans="1:34" s="36" customFormat="1" ht="31.2" x14ac:dyDescent="0.3">
      <c r="A67" s="49" t="s">
        <v>148</v>
      </c>
      <c r="B67" s="57" t="s">
        <v>149</v>
      </c>
      <c r="C67" s="51" t="s">
        <v>87</v>
      </c>
      <c r="D67" s="56"/>
      <c r="E67" s="14"/>
      <c r="F67" s="14"/>
      <c r="G67" s="14">
        <f t="shared" si="18"/>
        <v>17</v>
      </c>
      <c r="H67" s="14">
        <v>17</v>
      </c>
      <c r="I67" s="14"/>
      <c r="J67" s="14"/>
      <c r="K67" s="63">
        <v>17</v>
      </c>
      <c r="L67" s="14">
        <v>0</v>
      </c>
      <c r="M67" s="34">
        <f t="shared" si="3"/>
        <v>0</v>
      </c>
      <c r="N67" s="14"/>
      <c r="O67" s="14"/>
      <c r="P67" s="14"/>
      <c r="Q67" s="14"/>
      <c r="R67" s="14"/>
      <c r="S67" s="34">
        <f t="shared" si="4"/>
        <v>0</v>
      </c>
      <c r="T67" s="14"/>
      <c r="U67" s="14"/>
      <c r="V67" s="14"/>
      <c r="W67" s="14"/>
      <c r="X67" s="14"/>
      <c r="Y67" s="34">
        <f t="shared" si="5"/>
        <v>17</v>
      </c>
      <c r="Z67" s="14">
        <f t="shared" si="6"/>
        <v>0</v>
      </c>
      <c r="AA67" s="14">
        <f t="shared" si="6"/>
        <v>0</v>
      </c>
      <c r="AB67" s="14">
        <f t="shared" si="7"/>
        <v>0</v>
      </c>
      <c r="AC67" s="14">
        <f t="shared" si="8"/>
        <v>17</v>
      </c>
      <c r="AD67" s="14">
        <f t="shared" si="8"/>
        <v>0</v>
      </c>
      <c r="AE67" s="17"/>
      <c r="AF67" s="16"/>
      <c r="AH67" s="36">
        <f t="shared" si="13"/>
        <v>0</v>
      </c>
    </row>
    <row r="68" spans="1:34" s="36" customFormat="1" ht="31.2" x14ac:dyDescent="0.3">
      <c r="A68" s="49" t="s">
        <v>150</v>
      </c>
      <c r="B68" s="57" t="s">
        <v>151</v>
      </c>
      <c r="C68" s="51" t="s">
        <v>87</v>
      </c>
      <c r="D68" s="56"/>
      <c r="E68" s="14"/>
      <c r="F68" s="14"/>
      <c r="G68" s="14">
        <f t="shared" si="18"/>
        <v>7</v>
      </c>
      <c r="H68" s="14">
        <v>7</v>
      </c>
      <c r="I68" s="14"/>
      <c r="J68" s="14"/>
      <c r="K68" s="63">
        <v>7</v>
      </c>
      <c r="L68" s="14">
        <v>0</v>
      </c>
      <c r="M68" s="34">
        <f t="shared" si="3"/>
        <v>0</v>
      </c>
      <c r="N68" s="14"/>
      <c r="O68" s="14"/>
      <c r="P68" s="14"/>
      <c r="Q68" s="14"/>
      <c r="R68" s="14"/>
      <c r="S68" s="34">
        <f t="shared" si="4"/>
        <v>0</v>
      </c>
      <c r="T68" s="14"/>
      <c r="U68" s="14"/>
      <c r="V68" s="14"/>
      <c r="W68" s="14"/>
      <c r="X68" s="14"/>
      <c r="Y68" s="34">
        <f t="shared" si="5"/>
        <v>7</v>
      </c>
      <c r="Z68" s="14">
        <f t="shared" si="6"/>
        <v>0</v>
      </c>
      <c r="AA68" s="14">
        <f t="shared" si="6"/>
        <v>0</v>
      </c>
      <c r="AB68" s="14">
        <f t="shared" si="7"/>
        <v>0</v>
      </c>
      <c r="AC68" s="14">
        <f t="shared" si="8"/>
        <v>7</v>
      </c>
      <c r="AD68" s="14">
        <f t="shared" si="8"/>
        <v>0</v>
      </c>
      <c r="AE68" s="17"/>
      <c r="AF68" s="16"/>
      <c r="AH68" s="36">
        <f t="shared" si="13"/>
        <v>0</v>
      </c>
    </row>
    <row r="69" spans="1:34" s="36" customFormat="1" ht="31.2" x14ac:dyDescent="0.3">
      <c r="A69" s="49" t="s">
        <v>152</v>
      </c>
      <c r="B69" s="57" t="s">
        <v>153</v>
      </c>
      <c r="C69" s="51" t="s">
        <v>87</v>
      </c>
      <c r="D69" s="56"/>
      <c r="E69" s="14"/>
      <c r="F69" s="14"/>
      <c r="G69" s="14">
        <f t="shared" si="18"/>
        <v>17</v>
      </c>
      <c r="H69" s="14">
        <v>17</v>
      </c>
      <c r="I69" s="14"/>
      <c r="J69" s="14"/>
      <c r="K69" s="63">
        <v>17</v>
      </c>
      <c r="L69" s="14">
        <v>0</v>
      </c>
      <c r="M69" s="34">
        <f t="shared" si="3"/>
        <v>0</v>
      </c>
      <c r="N69" s="14"/>
      <c r="O69" s="14"/>
      <c r="P69" s="14"/>
      <c r="Q69" s="14"/>
      <c r="R69" s="14"/>
      <c r="S69" s="34">
        <f t="shared" si="4"/>
        <v>0</v>
      </c>
      <c r="T69" s="14"/>
      <c r="U69" s="14"/>
      <c r="V69" s="14"/>
      <c r="W69" s="14"/>
      <c r="X69" s="14"/>
      <c r="Y69" s="34">
        <f t="shared" si="5"/>
        <v>17</v>
      </c>
      <c r="Z69" s="14">
        <f t="shared" si="6"/>
        <v>0</v>
      </c>
      <c r="AA69" s="14">
        <f t="shared" si="6"/>
        <v>0</v>
      </c>
      <c r="AB69" s="14">
        <f t="shared" si="7"/>
        <v>0</v>
      </c>
      <c r="AC69" s="14">
        <f t="shared" si="8"/>
        <v>17</v>
      </c>
      <c r="AD69" s="14">
        <f t="shared" si="8"/>
        <v>0</v>
      </c>
      <c r="AE69" s="17"/>
      <c r="AF69" s="16"/>
      <c r="AH69" s="36">
        <f t="shared" si="13"/>
        <v>0</v>
      </c>
    </row>
    <row r="70" spans="1:34" s="36" customFormat="1" ht="31.2" x14ac:dyDescent="0.3">
      <c r="A70" s="49" t="s">
        <v>154</v>
      </c>
      <c r="B70" s="57" t="s">
        <v>155</v>
      </c>
      <c r="C70" s="51" t="s">
        <v>87</v>
      </c>
      <c r="D70" s="56"/>
      <c r="E70" s="14"/>
      <c r="F70" s="14"/>
      <c r="G70" s="14">
        <f t="shared" si="18"/>
        <v>36</v>
      </c>
      <c r="H70" s="14">
        <v>36</v>
      </c>
      <c r="I70" s="14"/>
      <c r="J70" s="14"/>
      <c r="K70" s="63">
        <v>36</v>
      </c>
      <c r="L70" s="14">
        <v>0</v>
      </c>
      <c r="M70" s="34">
        <f t="shared" si="3"/>
        <v>0</v>
      </c>
      <c r="N70" s="14"/>
      <c r="O70" s="14"/>
      <c r="P70" s="14"/>
      <c r="Q70" s="14"/>
      <c r="R70" s="14"/>
      <c r="S70" s="34">
        <f t="shared" si="4"/>
        <v>0</v>
      </c>
      <c r="T70" s="14"/>
      <c r="U70" s="14"/>
      <c r="V70" s="14"/>
      <c r="W70" s="14"/>
      <c r="X70" s="14"/>
      <c r="Y70" s="34">
        <f t="shared" si="5"/>
        <v>36</v>
      </c>
      <c r="Z70" s="14">
        <f t="shared" si="6"/>
        <v>0</v>
      </c>
      <c r="AA70" s="14">
        <f t="shared" si="6"/>
        <v>0</v>
      </c>
      <c r="AB70" s="14">
        <f t="shared" si="7"/>
        <v>0</v>
      </c>
      <c r="AC70" s="14">
        <f t="shared" si="8"/>
        <v>36</v>
      </c>
      <c r="AD70" s="14">
        <f t="shared" si="8"/>
        <v>0</v>
      </c>
      <c r="AE70" s="17"/>
      <c r="AF70" s="16"/>
      <c r="AH70" s="36">
        <f t="shared" si="13"/>
        <v>0</v>
      </c>
    </row>
    <row r="71" spans="1:34" s="36" customFormat="1" ht="46.8" x14ac:dyDescent="0.3">
      <c r="A71" s="49" t="s">
        <v>156</v>
      </c>
      <c r="B71" s="57" t="s">
        <v>157</v>
      </c>
      <c r="C71" s="51" t="s">
        <v>87</v>
      </c>
      <c r="D71" s="56" t="s">
        <v>158</v>
      </c>
      <c r="E71" s="14"/>
      <c r="F71" s="14"/>
      <c r="G71" s="14">
        <f t="shared" si="18"/>
        <v>26.03</v>
      </c>
      <c r="H71" s="14">
        <v>26.03</v>
      </c>
      <c r="I71" s="14"/>
      <c r="J71" s="14"/>
      <c r="K71" s="63">
        <v>26.03</v>
      </c>
      <c r="L71" s="14">
        <v>0</v>
      </c>
      <c r="M71" s="34">
        <f t="shared" si="3"/>
        <v>0</v>
      </c>
      <c r="N71" s="14"/>
      <c r="O71" s="14"/>
      <c r="P71" s="14"/>
      <c r="Q71" s="14"/>
      <c r="R71" s="14"/>
      <c r="S71" s="34">
        <f t="shared" si="4"/>
        <v>0</v>
      </c>
      <c r="T71" s="14"/>
      <c r="U71" s="14"/>
      <c r="V71" s="14"/>
      <c r="W71" s="14"/>
      <c r="X71" s="14"/>
      <c r="Y71" s="34">
        <f t="shared" si="5"/>
        <v>26.03</v>
      </c>
      <c r="Z71" s="14">
        <f t="shared" si="6"/>
        <v>0</v>
      </c>
      <c r="AA71" s="14">
        <f t="shared" si="6"/>
        <v>0</v>
      </c>
      <c r="AB71" s="14">
        <f t="shared" si="7"/>
        <v>0</v>
      </c>
      <c r="AC71" s="14">
        <f t="shared" si="8"/>
        <v>26.03</v>
      </c>
      <c r="AD71" s="14">
        <f t="shared" si="8"/>
        <v>0</v>
      </c>
      <c r="AE71" s="17"/>
      <c r="AF71" s="16"/>
      <c r="AH71" s="36">
        <f t="shared" si="13"/>
        <v>0</v>
      </c>
    </row>
    <row r="72" spans="1:34" s="36" customFormat="1" ht="31.2" x14ac:dyDescent="0.3">
      <c r="A72" s="49" t="s">
        <v>159</v>
      </c>
      <c r="B72" s="57" t="s">
        <v>160</v>
      </c>
      <c r="C72" s="51" t="s">
        <v>87</v>
      </c>
      <c r="D72" s="56"/>
      <c r="E72" s="14"/>
      <c r="F72" s="14"/>
      <c r="G72" s="14">
        <f t="shared" si="18"/>
        <v>9</v>
      </c>
      <c r="H72" s="14">
        <v>9</v>
      </c>
      <c r="I72" s="14"/>
      <c r="J72" s="14"/>
      <c r="K72" s="63">
        <v>9</v>
      </c>
      <c r="L72" s="14">
        <v>0</v>
      </c>
      <c r="M72" s="34">
        <f t="shared" si="3"/>
        <v>0</v>
      </c>
      <c r="N72" s="14"/>
      <c r="O72" s="14"/>
      <c r="P72" s="14"/>
      <c r="Q72" s="14"/>
      <c r="R72" s="14"/>
      <c r="S72" s="34">
        <f t="shared" si="4"/>
        <v>0</v>
      </c>
      <c r="T72" s="14"/>
      <c r="U72" s="14"/>
      <c r="V72" s="14"/>
      <c r="W72" s="14"/>
      <c r="X72" s="14"/>
      <c r="Y72" s="34">
        <f t="shared" si="5"/>
        <v>9</v>
      </c>
      <c r="Z72" s="14">
        <f t="shared" si="6"/>
        <v>0</v>
      </c>
      <c r="AA72" s="14">
        <f t="shared" si="6"/>
        <v>0</v>
      </c>
      <c r="AB72" s="14">
        <f t="shared" si="7"/>
        <v>0</v>
      </c>
      <c r="AC72" s="14">
        <f t="shared" si="8"/>
        <v>9</v>
      </c>
      <c r="AD72" s="14">
        <f t="shared" si="8"/>
        <v>0</v>
      </c>
      <c r="AE72" s="17"/>
      <c r="AF72" s="16"/>
      <c r="AH72" s="36">
        <f t="shared" si="13"/>
        <v>0</v>
      </c>
    </row>
    <row r="73" spans="1:34" s="36" customFormat="1" ht="31.2" x14ac:dyDescent="0.3">
      <c r="A73" s="49" t="s">
        <v>161</v>
      </c>
      <c r="B73" s="57" t="s">
        <v>162</v>
      </c>
      <c r="C73" s="51" t="s">
        <v>87</v>
      </c>
      <c r="D73" s="56"/>
      <c r="E73" s="14"/>
      <c r="F73" s="14"/>
      <c r="G73" s="14">
        <f t="shared" si="18"/>
        <v>72</v>
      </c>
      <c r="H73" s="14">
        <v>72</v>
      </c>
      <c r="I73" s="14"/>
      <c r="J73" s="14"/>
      <c r="K73" s="63">
        <v>72</v>
      </c>
      <c r="L73" s="14">
        <v>0</v>
      </c>
      <c r="M73" s="34">
        <f t="shared" si="3"/>
        <v>0</v>
      </c>
      <c r="N73" s="14"/>
      <c r="O73" s="14"/>
      <c r="P73" s="14"/>
      <c r="Q73" s="14"/>
      <c r="R73" s="14"/>
      <c r="S73" s="34">
        <f t="shared" si="4"/>
        <v>0</v>
      </c>
      <c r="T73" s="14"/>
      <c r="U73" s="14"/>
      <c r="V73" s="14"/>
      <c r="W73" s="14"/>
      <c r="X73" s="14"/>
      <c r="Y73" s="34">
        <f t="shared" si="5"/>
        <v>72</v>
      </c>
      <c r="Z73" s="14">
        <f t="shared" si="6"/>
        <v>0</v>
      </c>
      <c r="AA73" s="14">
        <f t="shared" si="6"/>
        <v>0</v>
      </c>
      <c r="AB73" s="14">
        <f t="shared" si="7"/>
        <v>0</v>
      </c>
      <c r="AC73" s="14">
        <f t="shared" si="8"/>
        <v>72</v>
      </c>
      <c r="AD73" s="14">
        <f t="shared" si="8"/>
        <v>0</v>
      </c>
      <c r="AE73" s="17"/>
      <c r="AF73" s="16"/>
      <c r="AH73" s="36">
        <f t="shared" si="13"/>
        <v>0</v>
      </c>
    </row>
    <row r="74" spans="1:34" s="24" customFormat="1" ht="31.2" x14ac:dyDescent="0.3">
      <c r="A74" s="64">
        <v>6</v>
      </c>
      <c r="B74" s="60" t="s">
        <v>193</v>
      </c>
      <c r="C74" s="60" t="s">
        <v>187</v>
      </c>
      <c r="D74" s="12"/>
      <c r="E74" s="22">
        <v>1020</v>
      </c>
      <c r="F74" s="22">
        <v>1020</v>
      </c>
      <c r="G74" s="22">
        <v>100</v>
      </c>
      <c r="H74" s="14">
        <f>G74</f>
        <v>100</v>
      </c>
      <c r="I74" s="14"/>
      <c r="J74" s="14"/>
      <c r="K74" s="14">
        <f>G74</f>
        <v>100</v>
      </c>
      <c r="L74" s="22">
        <v>0</v>
      </c>
      <c r="M74" s="34">
        <f>SUM(N74:R74)</f>
        <v>0</v>
      </c>
      <c r="N74" s="14"/>
      <c r="O74" s="14"/>
      <c r="P74" s="14"/>
      <c r="Q74" s="14"/>
      <c r="R74" s="14"/>
      <c r="S74" s="34">
        <f>SUM(T74:X74)</f>
        <v>0</v>
      </c>
      <c r="T74" s="14"/>
      <c r="U74" s="14"/>
      <c r="V74" s="14"/>
      <c r="W74" s="14"/>
      <c r="X74" s="14"/>
      <c r="Y74" s="34">
        <f>SUM(Z74:AD74)</f>
        <v>100</v>
      </c>
      <c r="Z74" s="14">
        <f t="shared" si="6"/>
        <v>0</v>
      </c>
      <c r="AA74" s="14">
        <f t="shared" si="6"/>
        <v>0</v>
      </c>
      <c r="AB74" s="14">
        <f>P74-V74</f>
        <v>0</v>
      </c>
      <c r="AC74" s="14">
        <f t="shared" si="8"/>
        <v>100</v>
      </c>
      <c r="AD74" s="14">
        <f t="shared" si="8"/>
        <v>0</v>
      </c>
      <c r="AE74" s="23"/>
      <c r="AF74" s="16" t="s">
        <v>37</v>
      </c>
      <c r="AH74" s="36">
        <f t="shared" si="13"/>
        <v>0</v>
      </c>
    </row>
    <row r="75" spans="1:34" s="24" customFormat="1" ht="31.2" x14ac:dyDescent="0.3">
      <c r="A75" s="64">
        <v>7</v>
      </c>
      <c r="B75" s="60" t="s">
        <v>194</v>
      </c>
      <c r="C75" s="60" t="s">
        <v>187</v>
      </c>
      <c r="D75" s="12"/>
      <c r="E75" s="22">
        <v>1130</v>
      </c>
      <c r="F75" s="22">
        <v>1130</v>
      </c>
      <c r="G75" s="22">
        <v>100</v>
      </c>
      <c r="H75" s="14">
        <f>G75</f>
        <v>100</v>
      </c>
      <c r="I75" s="14"/>
      <c r="J75" s="14"/>
      <c r="K75" s="14">
        <f>G75</f>
        <v>100</v>
      </c>
      <c r="L75" s="22">
        <v>0</v>
      </c>
      <c r="M75" s="34">
        <f>SUM(N75:R75)</f>
        <v>0</v>
      </c>
      <c r="N75" s="14"/>
      <c r="O75" s="14"/>
      <c r="P75" s="14"/>
      <c r="Q75" s="14"/>
      <c r="R75" s="14"/>
      <c r="S75" s="34">
        <f>SUM(T75:X75)</f>
        <v>0</v>
      </c>
      <c r="T75" s="14"/>
      <c r="U75" s="14"/>
      <c r="V75" s="14"/>
      <c r="W75" s="14"/>
      <c r="X75" s="14"/>
      <c r="Y75" s="34">
        <f>SUM(Z75:AD75)</f>
        <v>100</v>
      </c>
      <c r="Z75" s="14">
        <f t="shared" si="6"/>
        <v>0</v>
      </c>
      <c r="AA75" s="14">
        <f t="shared" si="6"/>
        <v>0</v>
      </c>
      <c r="AB75" s="14">
        <f>P75-V75</f>
        <v>0</v>
      </c>
      <c r="AC75" s="14">
        <f t="shared" si="8"/>
        <v>100</v>
      </c>
      <c r="AD75" s="14">
        <f t="shared" si="8"/>
        <v>0</v>
      </c>
      <c r="AE75" s="23"/>
      <c r="AF75" s="16" t="s">
        <v>37</v>
      </c>
      <c r="AH75" s="36">
        <f t="shared" si="13"/>
        <v>0</v>
      </c>
    </row>
    <row r="76" spans="1:34" s="36" customFormat="1" ht="46.5" customHeight="1" x14ac:dyDescent="0.3">
      <c r="A76" s="49" t="s">
        <v>19</v>
      </c>
      <c r="B76" s="57" t="s">
        <v>199</v>
      </c>
      <c r="C76" s="60" t="s">
        <v>197</v>
      </c>
      <c r="D76" s="12"/>
      <c r="E76" s="14">
        <v>14499</v>
      </c>
      <c r="F76" s="14">
        <v>4498.62</v>
      </c>
      <c r="G76" s="14">
        <f>4025.9-2524.2</f>
        <v>1501.7000000000003</v>
      </c>
      <c r="H76" s="14">
        <f>G76</f>
        <v>1501.7000000000003</v>
      </c>
      <c r="I76" s="14"/>
      <c r="J76" s="14"/>
      <c r="K76" s="14">
        <f>G76</f>
        <v>1501.7000000000003</v>
      </c>
      <c r="L76" s="14">
        <v>0</v>
      </c>
      <c r="M76" s="34">
        <f>SUM(N76:R76)</f>
        <v>95.295000000000002</v>
      </c>
      <c r="N76" s="14"/>
      <c r="O76" s="14"/>
      <c r="P76" s="14">
        <v>95.295000000000002</v>
      </c>
      <c r="Q76" s="14"/>
      <c r="R76" s="14"/>
      <c r="S76" s="34">
        <f>SUM(T76:X76)</f>
        <v>1501.7000000000003</v>
      </c>
      <c r="T76" s="14"/>
      <c r="U76" s="14"/>
      <c r="V76" s="14"/>
      <c r="W76" s="14">
        <f>K76</f>
        <v>1501.7000000000003</v>
      </c>
      <c r="X76" s="14"/>
      <c r="Y76" s="34">
        <f>SUM(Z76:AD76)</f>
        <v>95.295000000000002</v>
      </c>
      <c r="Z76" s="14">
        <f t="shared" si="6"/>
        <v>0</v>
      </c>
      <c r="AA76" s="14">
        <f t="shared" si="6"/>
        <v>0</v>
      </c>
      <c r="AB76" s="14">
        <f>P76-V76</f>
        <v>95.295000000000002</v>
      </c>
      <c r="AC76" s="14">
        <f t="shared" si="8"/>
        <v>0</v>
      </c>
      <c r="AD76" s="14">
        <f t="shared" si="8"/>
        <v>0</v>
      </c>
      <c r="AE76" s="17"/>
      <c r="AF76" s="16" t="s">
        <v>34</v>
      </c>
      <c r="AH76" s="36">
        <f t="shared" si="13"/>
        <v>0</v>
      </c>
    </row>
    <row r="77" spans="1:34" s="24" customFormat="1" ht="60.75" customHeight="1" x14ac:dyDescent="0.3">
      <c r="A77" s="49" t="s">
        <v>85</v>
      </c>
      <c r="B77" s="65" t="s">
        <v>219</v>
      </c>
      <c r="C77" s="60" t="s">
        <v>211</v>
      </c>
      <c r="D77" s="12"/>
      <c r="E77" s="22">
        <f>F77</f>
        <v>290</v>
      </c>
      <c r="F77" s="22">
        <v>290</v>
      </c>
      <c r="G77" s="22">
        <v>200</v>
      </c>
      <c r="H77" s="32">
        <f>G77</f>
        <v>200</v>
      </c>
      <c r="I77" s="32"/>
      <c r="J77" s="32"/>
      <c r="K77" s="26">
        <f>H77</f>
        <v>200</v>
      </c>
      <c r="L77" s="22">
        <v>0</v>
      </c>
      <c r="M77" s="34">
        <f>SUM(N77:R77)</f>
        <v>74.751000000000005</v>
      </c>
      <c r="N77" s="14"/>
      <c r="O77" s="14"/>
      <c r="P77" s="14">
        <v>74.751000000000005</v>
      </c>
      <c r="Q77" s="14"/>
      <c r="R77" s="14"/>
      <c r="S77" s="34">
        <f>SUM(T77:X77)</f>
        <v>200</v>
      </c>
      <c r="T77" s="14"/>
      <c r="U77" s="14"/>
      <c r="V77" s="14"/>
      <c r="W77" s="14">
        <f>K77</f>
        <v>200</v>
      </c>
      <c r="X77" s="14"/>
      <c r="Y77" s="34">
        <f>SUM(Z77:AD77)</f>
        <v>74.751000000000005</v>
      </c>
      <c r="Z77" s="14">
        <f t="shared" si="6"/>
        <v>0</v>
      </c>
      <c r="AA77" s="14">
        <f t="shared" si="6"/>
        <v>0</v>
      </c>
      <c r="AB77" s="14">
        <f>P77-V77</f>
        <v>74.751000000000005</v>
      </c>
      <c r="AC77" s="14">
        <f t="shared" si="8"/>
        <v>0</v>
      </c>
      <c r="AD77" s="14">
        <f t="shared" si="8"/>
        <v>0</v>
      </c>
      <c r="AE77" s="25"/>
      <c r="AF77" s="12" t="s">
        <v>37</v>
      </c>
      <c r="AH77" s="36">
        <f t="shared" si="13"/>
        <v>0</v>
      </c>
    </row>
    <row r="78" spans="1:34" s="24" customFormat="1" ht="70.5" customHeight="1" x14ac:dyDescent="0.3">
      <c r="A78" s="49" t="s">
        <v>21</v>
      </c>
      <c r="B78" s="65" t="s">
        <v>220</v>
      </c>
      <c r="C78" s="60" t="s">
        <v>211</v>
      </c>
      <c r="D78" s="12"/>
      <c r="E78" s="22">
        <f>F78</f>
        <v>270</v>
      </c>
      <c r="F78" s="22">
        <v>270</v>
      </c>
      <c r="G78" s="22">
        <v>200</v>
      </c>
      <c r="H78" s="32">
        <f>G78</f>
        <v>200</v>
      </c>
      <c r="I78" s="32"/>
      <c r="J78" s="32"/>
      <c r="K78" s="26">
        <f>H78</f>
        <v>200</v>
      </c>
      <c r="L78" s="22">
        <v>0</v>
      </c>
      <c r="M78" s="34">
        <f>SUM(N78:R78)</f>
        <v>157.447</v>
      </c>
      <c r="N78" s="14"/>
      <c r="O78" s="14"/>
      <c r="P78" s="14">
        <v>157.447</v>
      </c>
      <c r="Q78" s="14"/>
      <c r="R78" s="14"/>
      <c r="S78" s="34">
        <f>SUM(T78:X78)</f>
        <v>200</v>
      </c>
      <c r="T78" s="14"/>
      <c r="U78" s="14"/>
      <c r="V78" s="14"/>
      <c r="W78" s="14">
        <f>K78</f>
        <v>200</v>
      </c>
      <c r="X78" s="14"/>
      <c r="Y78" s="34">
        <f>SUM(Z78:AD78)</f>
        <v>157.447</v>
      </c>
      <c r="Z78" s="14">
        <f t="shared" si="6"/>
        <v>0</v>
      </c>
      <c r="AA78" s="14">
        <f t="shared" si="6"/>
        <v>0</v>
      </c>
      <c r="AB78" s="14">
        <f>P78-V78</f>
        <v>157.447</v>
      </c>
      <c r="AC78" s="14">
        <f t="shared" si="8"/>
        <v>0</v>
      </c>
      <c r="AD78" s="14">
        <f t="shared" si="8"/>
        <v>0</v>
      </c>
      <c r="AE78" s="25"/>
      <c r="AF78" s="12" t="s">
        <v>37</v>
      </c>
      <c r="AH78" s="36">
        <f t="shared" si="13"/>
        <v>0</v>
      </c>
    </row>
    <row r="79" spans="1:34" s="36" customFormat="1" ht="32.25" customHeight="1" x14ac:dyDescent="0.3">
      <c r="A79" s="49"/>
      <c r="B79" s="66" t="s">
        <v>165</v>
      </c>
      <c r="C79" s="66"/>
      <c r="D79" s="40"/>
      <c r="E79" s="13"/>
      <c r="F79" s="13"/>
      <c r="G79" s="13"/>
      <c r="H79" s="14">
        <v>0</v>
      </c>
      <c r="I79" s="14"/>
      <c r="J79" s="14"/>
      <c r="K79" s="13">
        <v>0</v>
      </c>
      <c r="L79" s="13">
        <v>0</v>
      </c>
      <c r="M79" s="34">
        <f t="shared" ref="M79:M133" si="19">SUM(N79:R79)</f>
        <v>0</v>
      </c>
      <c r="N79" s="14"/>
      <c r="O79" s="14"/>
      <c r="P79" s="14"/>
      <c r="Q79" s="14"/>
      <c r="R79" s="14"/>
      <c r="S79" s="34">
        <f t="shared" ref="S79:S133" si="20">SUM(T79:X79)</f>
        <v>0</v>
      </c>
      <c r="T79" s="14"/>
      <c r="U79" s="14"/>
      <c r="V79" s="14"/>
      <c r="W79" s="14"/>
      <c r="X79" s="14"/>
      <c r="Y79" s="34">
        <f t="shared" ref="Y79:Y133" si="21">SUM(Z79:AD79)</f>
        <v>0</v>
      </c>
      <c r="Z79" s="14">
        <f t="shared" si="6"/>
        <v>0</v>
      </c>
      <c r="AA79" s="14">
        <f t="shared" si="6"/>
        <v>0</v>
      </c>
      <c r="AB79" s="14">
        <f t="shared" si="7"/>
        <v>0</v>
      </c>
      <c r="AC79" s="14">
        <f t="shared" si="8"/>
        <v>0</v>
      </c>
      <c r="AD79" s="14">
        <f t="shared" si="8"/>
        <v>0</v>
      </c>
      <c r="AE79" s="15"/>
      <c r="AF79" s="16"/>
      <c r="AH79" s="36">
        <f t="shared" si="13"/>
        <v>0</v>
      </c>
    </row>
    <row r="80" spans="1:34" s="36" customFormat="1" ht="31.2" x14ac:dyDescent="0.3">
      <c r="A80" s="49" t="s">
        <v>166</v>
      </c>
      <c r="B80" s="94" t="s">
        <v>167</v>
      </c>
      <c r="C80" s="67" t="s">
        <v>168</v>
      </c>
      <c r="D80" s="40"/>
      <c r="E80" s="14">
        <f>F80</f>
        <v>5459.6170000000002</v>
      </c>
      <c r="F80" s="14">
        <v>5459.6170000000002</v>
      </c>
      <c r="G80" s="14">
        <v>63.124124999999999</v>
      </c>
      <c r="H80" s="14">
        <f>K80</f>
        <v>63.124124999999999</v>
      </c>
      <c r="I80" s="14"/>
      <c r="J80" s="14"/>
      <c r="K80" s="14">
        <f>G80</f>
        <v>63.124124999999999</v>
      </c>
      <c r="L80" s="14">
        <v>0</v>
      </c>
      <c r="M80" s="34">
        <f t="shared" si="19"/>
        <v>0</v>
      </c>
      <c r="N80" s="14"/>
      <c r="O80" s="14"/>
      <c r="P80" s="14"/>
      <c r="Q80" s="14"/>
      <c r="R80" s="14"/>
      <c r="S80" s="34">
        <f t="shared" si="20"/>
        <v>0</v>
      </c>
      <c r="T80" s="14"/>
      <c r="U80" s="14"/>
      <c r="V80" s="14"/>
      <c r="W80" s="14"/>
      <c r="X80" s="14"/>
      <c r="Y80" s="34">
        <f t="shared" si="21"/>
        <v>63.124124999999999</v>
      </c>
      <c r="Z80" s="14">
        <f t="shared" ref="Z80:AA132" si="22">I80+N80-T80</f>
        <v>0</v>
      </c>
      <c r="AA80" s="14">
        <f t="shared" si="22"/>
        <v>0</v>
      </c>
      <c r="AB80" s="14">
        <f t="shared" ref="AB80:AB132" si="23">P80-V80</f>
        <v>0</v>
      </c>
      <c r="AC80" s="14">
        <f t="shared" ref="AC80:AD132" si="24">K80+Q80-W80</f>
        <v>63.124124999999999</v>
      </c>
      <c r="AD80" s="14">
        <f t="shared" si="24"/>
        <v>0</v>
      </c>
      <c r="AE80" s="17"/>
      <c r="AF80" s="16" t="s">
        <v>40</v>
      </c>
      <c r="AH80" s="36">
        <f t="shared" si="13"/>
        <v>0</v>
      </c>
    </row>
    <row r="81" spans="1:35" s="36" customFormat="1" ht="60" customHeight="1" x14ac:dyDescent="0.3">
      <c r="A81" s="49" t="s">
        <v>169</v>
      </c>
      <c r="B81" s="94" t="s">
        <v>170</v>
      </c>
      <c r="C81" s="67" t="s">
        <v>168</v>
      </c>
      <c r="D81" s="56"/>
      <c r="E81" s="14">
        <v>26745.424999999999</v>
      </c>
      <c r="F81" s="14">
        <v>26745.424999999999</v>
      </c>
      <c r="G81" s="14">
        <v>323</v>
      </c>
      <c r="H81" s="14">
        <f>K81</f>
        <v>323</v>
      </c>
      <c r="I81" s="14"/>
      <c r="J81" s="14"/>
      <c r="K81" s="14">
        <f>G81</f>
        <v>323</v>
      </c>
      <c r="L81" s="14">
        <v>0</v>
      </c>
      <c r="M81" s="34">
        <f t="shared" si="19"/>
        <v>0</v>
      </c>
      <c r="N81" s="14"/>
      <c r="O81" s="14"/>
      <c r="P81" s="14"/>
      <c r="Q81" s="14"/>
      <c r="R81" s="14"/>
      <c r="S81" s="34">
        <f t="shared" si="20"/>
        <v>0</v>
      </c>
      <c r="T81" s="14"/>
      <c r="U81" s="14"/>
      <c r="V81" s="14"/>
      <c r="W81" s="14">
        <f>P81</f>
        <v>0</v>
      </c>
      <c r="X81" s="14"/>
      <c r="Y81" s="34">
        <f t="shared" si="21"/>
        <v>323</v>
      </c>
      <c r="Z81" s="14">
        <f t="shared" si="22"/>
        <v>0</v>
      </c>
      <c r="AA81" s="14">
        <f t="shared" si="22"/>
        <v>0</v>
      </c>
      <c r="AB81" s="14">
        <f t="shared" si="23"/>
        <v>0</v>
      </c>
      <c r="AC81" s="14">
        <f t="shared" si="24"/>
        <v>323</v>
      </c>
      <c r="AD81" s="14">
        <f t="shared" si="24"/>
        <v>0</v>
      </c>
      <c r="AE81" s="17"/>
      <c r="AF81" s="16" t="s">
        <v>40</v>
      </c>
      <c r="AH81" s="36">
        <f t="shared" si="13"/>
        <v>0</v>
      </c>
    </row>
    <row r="82" spans="1:35" s="36" customFormat="1" ht="60" customHeight="1" x14ac:dyDescent="0.3">
      <c r="A82" s="49" t="s">
        <v>171</v>
      </c>
      <c r="B82" s="94" t="s">
        <v>172</v>
      </c>
      <c r="C82" s="67" t="s">
        <v>168</v>
      </c>
      <c r="D82" s="56"/>
      <c r="E82" s="14">
        <v>14282.031999999999</v>
      </c>
      <c r="F82" s="14">
        <v>14282.031999999999</v>
      </c>
      <c r="G82" s="14">
        <v>67</v>
      </c>
      <c r="H82" s="14">
        <f t="shared" ref="H82:H86" si="25">K82</f>
        <v>67</v>
      </c>
      <c r="I82" s="14"/>
      <c r="J82" s="14"/>
      <c r="K82" s="14">
        <f t="shared" ref="K82:K86" si="26">G82</f>
        <v>67</v>
      </c>
      <c r="L82" s="14">
        <v>0</v>
      </c>
      <c r="M82" s="34">
        <f t="shared" si="19"/>
        <v>0</v>
      </c>
      <c r="N82" s="14"/>
      <c r="O82" s="14"/>
      <c r="P82" s="14"/>
      <c r="Q82" s="14"/>
      <c r="R82" s="14"/>
      <c r="S82" s="34">
        <f t="shared" si="20"/>
        <v>0</v>
      </c>
      <c r="T82" s="14"/>
      <c r="U82" s="14"/>
      <c r="V82" s="14"/>
      <c r="W82" s="14"/>
      <c r="X82" s="14"/>
      <c r="Y82" s="34">
        <f t="shared" si="21"/>
        <v>67</v>
      </c>
      <c r="Z82" s="14">
        <f t="shared" si="22"/>
        <v>0</v>
      </c>
      <c r="AA82" s="14">
        <f t="shared" si="22"/>
        <v>0</v>
      </c>
      <c r="AB82" s="14">
        <f t="shared" si="23"/>
        <v>0</v>
      </c>
      <c r="AC82" s="14">
        <f t="shared" si="24"/>
        <v>67</v>
      </c>
      <c r="AD82" s="14">
        <f t="shared" si="24"/>
        <v>0</v>
      </c>
      <c r="AE82" s="17"/>
      <c r="AF82" s="16" t="s">
        <v>40</v>
      </c>
      <c r="AH82" s="36">
        <f t="shared" si="13"/>
        <v>0</v>
      </c>
    </row>
    <row r="83" spans="1:35" s="36" customFormat="1" ht="46.5" customHeight="1" x14ac:dyDescent="0.3">
      <c r="A83" s="49" t="s">
        <v>173</v>
      </c>
      <c r="B83" s="94" t="s">
        <v>174</v>
      </c>
      <c r="C83" s="67" t="s">
        <v>168</v>
      </c>
      <c r="D83" s="56"/>
      <c r="E83" s="14">
        <v>5431.3995999999997</v>
      </c>
      <c r="F83" s="14">
        <v>5431.3995999999997</v>
      </c>
      <c r="G83" s="14">
        <v>129</v>
      </c>
      <c r="H83" s="14">
        <f t="shared" si="25"/>
        <v>129</v>
      </c>
      <c r="I83" s="14"/>
      <c r="J83" s="14"/>
      <c r="K83" s="14">
        <f t="shared" si="26"/>
        <v>129</v>
      </c>
      <c r="L83" s="14">
        <v>0</v>
      </c>
      <c r="M83" s="34">
        <f t="shared" si="19"/>
        <v>0</v>
      </c>
      <c r="N83" s="14"/>
      <c r="O83" s="14"/>
      <c r="P83" s="14"/>
      <c r="Q83" s="14"/>
      <c r="R83" s="14"/>
      <c r="S83" s="34">
        <f t="shared" si="20"/>
        <v>0</v>
      </c>
      <c r="T83" s="14"/>
      <c r="U83" s="14"/>
      <c r="V83" s="14"/>
      <c r="W83" s="14"/>
      <c r="X83" s="14"/>
      <c r="Y83" s="34">
        <f t="shared" si="21"/>
        <v>129</v>
      </c>
      <c r="Z83" s="14">
        <f t="shared" si="22"/>
        <v>0</v>
      </c>
      <c r="AA83" s="14">
        <f t="shared" si="22"/>
        <v>0</v>
      </c>
      <c r="AB83" s="14">
        <f t="shared" si="23"/>
        <v>0</v>
      </c>
      <c r="AC83" s="14">
        <f t="shared" si="24"/>
        <v>129</v>
      </c>
      <c r="AD83" s="14">
        <f t="shared" si="24"/>
        <v>0</v>
      </c>
      <c r="AE83" s="17"/>
      <c r="AF83" s="16" t="s">
        <v>40</v>
      </c>
      <c r="AH83" s="36">
        <f t="shared" si="13"/>
        <v>0</v>
      </c>
    </row>
    <row r="84" spans="1:35" s="36" customFormat="1" ht="42.75" customHeight="1" x14ac:dyDescent="0.3">
      <c r="A84" s="49" t="s">
        <v>175</v>
      </c>
      <c r="B84" s="94" t="s">
        <v>176</v>
      </c>
      <c r="C84" s="67" t="s">
        <v>168</v>
      </c>
      <c r="D84" s="56"/>
      <c r="E84" s="14">
        <v>14225.721</v>
      </c>
      <c r="F84" s="14">
        <v>14225.721</v>
      </c>
      <c r="G84" s="14">
        <v>697</v>
      </c>
      <c r="H84" s="14">
        <f t="shared" si="25"/>
        <v>697</v>
      </c>
      <c r="I84" s="14"/>
      <c r="J84" s="14"/>
      <c r="K84" s="14">
        <f t="shared" si="26"/>
        <v>697</v>
      </c>
      <c r="L84" s="14">
        <v>0</v>
      </c>
      <c r="M84" s="34">
        <f t="shared" si="19"/>
        <v>0</v>
      </c>
      <c r="N84" s="14"/>
      <c r="O84" s="14"/>
      <c r="P84" s="14"/>
      <c r="Q84" s="14"/>
      <c r="R84" s="14"/>
      <c r="S84" s="34">
        <f t="shared" si="20"/>
        <v>0</v>
      </c>
      <c r="T84" s="14"/>
      <c r="U84" s="14"/>
      <c r="V84" s="14"/>
      <c r="W84" s="14"/>
      <c r="X84" s="14"/>
      <c r="Y84" s="34">
        <f t="shared" si="21"/>
        <v>697</v>
      </c>
      <c r="Z84" s="14">
        <f t="shared" si="22"/>
        <v>0</v>
      </c>
      <c r="AA84" s="14">
        <f t="shared" si="22"/>
        <v>0</v>
      </c>
      <c r="AB84" s="14">
        <f t="shared" si="23"/>
        <v>0</v>
      </c>
      <c r="AC84" s="14">
        <f t="shared" si="24"/>
        <v>697</v>
      </c>
      <c r="AD84" s="14">
        <f t="shared" si="24"/>
        <v>0</v>
      </c>
      <c r="AE84" s="17"/>
      <c r="AF84" s="16" t="s">
        <v>40</v>
      </c>
      <c r="AH84" s="36">
        <f t="shared" si="13"/>
        <v>0</v>
      </c>
    </row>
    <row r="85" spans="1:35" s="36" customFormat="1" ht="42.75" customHeight="1" x14ac:dyDescent="0.3">
      <c r="A85" s="49" t="s">
        <v>177</v>
      </c>
      <c r="B85" s="94" t="s">
        <v>178</v>
      </c>
      <c r="C85" s="67" t="s">
        <v>168</v>
      </c>
      <c r="D85" s="56"/>
      <c r="E85" s="14">
        <v>3881.7310000000002</v>
      </c>
      <c r="F85" s="14">
        <v>3881.7310000000002</v>
      </c>
      <c r="G85" s="14">
        <v>156</v>
      </c>
      <c r="H85" s="14">
        <f t="shared" si="25"/>
        <v>156</v>
      </c>
      <c r="I85" s="14"/>
      <c r="J85" s="14"/>
      <c r="K85" s="14">
        <f t="shared" si="26"/>
        <v>156</v>
      </c>
      <c r="L85" s="14">
        <v>0</v>
      </c>
      <c r="M85" s="34">
        <f t="shared" si="19"/>
        <v>0</v>
      </c>
      <c r="N85" s="14"/>
      <c r="O85" s="14"/>
      <c r="P85" s="14"/>
      <c r="Q85" s="14"/>
      <c r="R85" s="14"/>
      <c r="S85" s="34">
        <f t="shared" si="20"/>
        <v>0</v>
      </c>
      <c r="T85" s="14"/>
      <c r="U85" s="14"/>
      <c r="V85" s="14"/>
      <c r="W85" s="14"/>
      <c r="X85" s="14"/>
      <c r="Y85" s="34">
        <f t="shared" si="21"/>
        <v>156</v>
      </c>
      <c r="Z85" s="14">
        <f t="shared" si="22"/>
        <v>0</v>
      </c>
      <c r="AA85" s="14">
        <f t="shared" si="22"/>
        <v>0</v>
      </c>
      <c r="AB85" s="14">
        <f t="shared" si="23"/>
        <v>0</v>
      </c>
      <c r="AC85" s="14">
        <f t="shared" si="24"/>
        <v>156</v>
      </c>
      <c r="AD85" s="14">
        <f t="shared" si="24"/>
        <v>0</v>
      </c>
      <c r="AE85" s="17"/>
      <c r="AF85" s="16" t="s">
        <v>37</v>
      </c>
      <c r="AH85" s="36">
        <f t="shared" si="13"/>
        <v>0</v>
      </c>
    </row>
    <row r="86" spans="1:35" s="36" customFormat="1" ht="51.75" customHeight="1" x14ac:dyDescent="0.3">
      <c r="A86" s="49" t="s">
        <v>179</v>
      </c>
      <c r="B86" s="94" t="s">
        <v>180</v>
      </c>
      <c r="C86" s="67" t="s">
        <v>168</v>
      </c>
      <c r="D86" s="56"/>
      <c r="E86" s="14">
        <v>27800</v>
      </c>
      <c r="F86" s="14">
        <v>27800</v>
      </c>
      <c r="G86" s="14">
        <v>2500</v>
      </c>
      <c r="H86" s="14">
        <f t="shared" si="25"/>
        <v>2500</v>
      </c>
      <c r="I86" s="14"/>
      <c r="J86" s="14"/>
      <c r="K86" s="14">
        <f t="shared" si="26"/>
        <v>2500</v>
      </c>
      <c r="L86" s="14">
        <v>0</v>
      </c>
      <c r="M86" s="34">
        <f t="shared" si="19"/>
        <v>0</v>
      </c>
      <c r="N86" s="14"/>
      <c r="O86" s="14"/>
      <c r="P86" s="14"/>
      <c r="Q86" s="14"/>
      <c r="R86" s="14"/>
      <c r="S86" s="34">
        <f t="shared" si="20"/>
        <v>0</v>
      </c>
      <c r="T86" s="14"/>
      <c r="U86" s="14"/>
      <c r="V86" s="14"/>
      <c r="W86" s="14"/>
      <c r="X86" s="14"/>
      <c r="Y86" s="34">
        <f t="shared" si="21"/>
        <v>2500</v>
      </c>
      <c r="Z86" s="14">
        <f t="shared" si="22"/>
        <v>0</v>
      </c>
      <c r="AA86" s="14">
        <f t="shared" si="22"/>
        <v>0</v>
      </c>
      <c r="AB86" s="14">
        <f t="shared" si="23"/>
        <v>0</v>
      </c>
      <c r="AC86" s="14">
        <f t="shared" si="24"/>
        <v>2500</v>
      </c>
      <c r="AD86" s="14">
        <f t="shared" si="24"/>
        <v>0</v>
      </c>
      <c r="AE86" s="17"/>
      <c r="AF86" s="16" t="s">
        <v>37</v>
      </c>
      <c r="AH86" s="36">
        <f t="shared" si="13"/>
        <v>0</v>
      </c>
    </row>
    <row r="87" spans="1:35" s="46" customFormat="1" ht="48" customHeight="1" x14ac:dyDescent="0.3">
      <c r="A87" s="44" t="s">
        <v>183</v>
      </c>
      <c r="B87" s="45" t="s">
        <v>184</v>
      </c>
      <c r="C87" s="45"/>
      <c r="D87" s="68"/>
      <c r="E87" s="9">
        <f t="shared" ref="E87:AD87" si="27">SUM(E89:E114)</f>
        <v>79177.279877000008</v>
      </c>
      <c r="F87" s="9">
        <f t="shared" si="27"/>
        <v>75577.579876999996</v>
      </c>
      <c r="G87" s="9">
        <f t="shared" si="27"/>
        <v>23324.326015999999</v>
      </c>
      <c r="H87" s="9">
        <f t="shared" si="27"/>
        <v>22759.761016</v>
      </c>
      <c r="I87" s="9">
        <f t="shared" si="27"/>
        <v>0</v>
      </c>
      <c r="J87" s="9">
        <f t="shared" si="27"/>
        <v>0</v>
      </c>
      <c r="K87" s="9">
        <f t="shared" si="27"/>
        <v>22759.761016</v>
      </c>
      <c r="L87" s="9">
        <f t="shared" si="27"/>
        <v>0</v>
      </c>
      <c r="M87" s="9">
        <f t="shared" si="27"/>
        <v>4200</v>
      </c>
      <c r="N87" s="9">
        <f t="shared" si="27"/>
        <v>0</v>
      </c>
      <c r="O87" s="9">
        <f t="shared" si="27"/>
        <v>0</v>
      </c>
      <c r="P87" s="9">
        <f t="shared" si="27"/>
        <v>4200</v>
      </c>
      <c r="Q87" s="9">
        <f t="shared" si="27"/>
        <v>0</v>
      </c>
      <c r="R87" s="9">
        <f t="shared" si="27"/>
        <v>0</v>
      </c>
      <c r="S87" s="9">
        <f t="shared" si="27"/>
        <v>17709.317999999999</v>
      </c>
      <c r="T87" s="9">
        <f t="shared" si="27"/>
        <v>0</v>
      </c>
      <c r="U87" s="9">
        <f t="shared" si="27"/>
        <v>0</v>
      </c>
      <c r="V87" s="9">
        <f t="shared" si="27"/>
        <v>0</v>
      </c>
      <c r="W87" s="9">
        <f t="shared" si="27"/>
        <v>17709.317999999999</v>
      </c>
      <c r="X87" s="9">
        <f t="shared" si="27"/>
        <v>0</v>
      </c>
      <c r="Y87" s="9">
        <f t="shared" si="27"/>
        <v>9250.4430160000011</v>
      </c>
      <c r="Z87" s="9">
        <f t="shared" si="27"/>
        <v>0</v>
      </c>
      <c r="AA87" s="9">
        <f t="shared" si="27"/>
        <v>0</v>
      </c>
      <c r="AB87" s="9">
        <f t="shared" si="27"/>
        <v>4200</v>
      </c>
      <c r="AC87" s="9">
        <f t="shared" si="27"/>
        <v>5050.4430160000011</v>
      </c>
      <c r="AD87" s="9">
        <f t="shared" si="27"/>
        <v>0</v>
      </c>
      <c r="AE87" s="21">
        <f>SUM(AE89:AE91)</f>
        <v>0</v>
      </c>
      <c r="AF87" s="11"/>
      <c r="AH87" s="36">
        <f t="shared" si="13"/>
        <v>564.56499999999869</v>
      </c>
    </row>
    <row r="88" spans="1:35" s="36" customFormat="1" ht="29.25" customHeight="1" x14ac:dyDescent="0.3">
      <c r="A88" s="47"/>
      <c r="B88" s="48" t="s">
        <v>185</v>
      </c>
      <c r="C88" s="48"/>
      <c r="D88" s="69"/>
      <c r="E88" s="13"/>
      <c r="F88" s="13"/>
      <c r="G88" s="13"/>
      <c r="H88" s="14"/>
      <c r="I88" s="14"/>
      <c r="J88" s="14"/>
      <c r="K88" s="13"/>
      <c r="L88" s="13">
        <v>0</v>
      </c>
      <c r="M88" s="34">
        <f t="shared" si="19"/>
        <v>0</v>
      </c>
      <c r="N88" s="14"/>
      <c r="O88" s="14"/>
      <c r="P88" s="14"/>
      <c r="Q88" s="14"/>
      <c r="R88" s="14"/>
      <c r="S88" s="34">
        <f t="shared" si="20"/>
        <v>0</v>
      </c>
      <c r="T88" s="14"/>
      <c r="U88" s="14"/>
      <c r="V88" s="14"/>
      <c r="W88" s="14"/>
      <c r="X88" s="14"/>
      <c r="Y88" s="34">
        <f t="shared" si="21"/>
        <v>0</v>
      </c>
      <c r="Z88" s="14">
        <f t="shared" si="22"/>
        <v>0</v>
      </c>
      <c r="AA88" s="14">
        <f t="shared" si="22"/>
        <v>0</v>
      </c>
      <c r="AB88" s="14">
        <f t="shared" si="23"/>
        <v>0</v>
      </c>
      <c r="AC88" s="14">
        <f t="shared" si="24"/>
        <v>0</v>
      </c>
      <c r="AD88" s="14">
        <f t="shared" si="24"/>
        <v>0</v>
      </c>
      <c r="AE88" s="15"/>
      <c r="AF88" s="16"/>
      <c r="AH88" s="36">
        <f t="shared" si="13"/>
        <v>0</v>
      </c>
    </row>
    <row r="89" spans="1:35" s="36" customFormat="1" ht="31.2" x14ac:dyDescent="0.3">
      <c r="A89" s="64">
        <v>1</v>
      </c>
      <c r="B89" s="60" t="s">
        <v>186</v>
      </c>
      <c r="C89" s="60" t="s">
        <v>187</v>
      </c>
      <c r="D89" s="69"/>
      <c r="E89" s="14">
        <v>1312</v>
      </c>
      <c r="F89" s="14">
        <v>1312.3</v>
      </c>
      <c r="G89" s="14">
        <v>250.80643600000002</v>
      </c>
      <c r="H89" s="14">
        <v>250.80643600000002</v>
      </c>
      <c r="I89" s="14"/>
      <c r="J89" s="14"/>
      <c r="K89" s="14">
        <v>250.80643600000002</v>
      </c>
      <c r="L89" s="14">
        <v>0</v>
      </c>
      <c r="M89" s="34">
        <f t="shared" si="19"/>
        <v>0</v>
      </c>
      <c r="N89" s="14"/>
      <c r="O89" s="14"/>
      <c r="P89" s="14"/>
      <c r="Q89" s="14"/>
      <c r="R89" s="14"/>
      <c r="S89" s="34">
        <f t="shared" si="20"/>
        <v>0</v>
      </c>
      <c r="T89" s="14"/>
      <c r="U89" s="14"/>
      <c r="V89" s="14"/>
      <c r="W89" s="14"/>
      <c r="X89" s="14"/>
      <c r="Y89" s="34">
        <f t="shared" si="21"/>
        <v>250.80643600000002</v>
      </c>
      <c r="Z89" s="14">
        <f t="shared" si="22"/>
        <v>0</v>
      </c>
      <c r="AA89" s="14">
        <f t="shared" si="22"/>
        <v>0</v>
      </c>
      <c r="AB89" s="14">
        <f t="shared" si="23"/>
        <v>0</v>
      </c>
      <c r="AC89" s="14">
        <f t="shared" si="24"/>
        <v>250.80643600000002</v>
      </c>
      <c r="AD89" s="14">
        <f t="shared" si="24"/>
        <v>0</v>
      </c>
      <c r="AE89" s="17"/>
      <c r="AF89" s="16" t="s">
        <v>40</v>
      </c>
      <c r="AH89" s="36">
        <f t="shared" si="13"/>
        <v>0</v>
      </c>
    </row>
    <row r="90" spans="1:35" s="36" customFormat="1" ht="31.2" x14ac:dyDescent="0.3">
      <c r="A90" s="64">
        <v>2</v>
      </c>
      <c r="B90" s="60" t="s">
        <v>188</v>
      </c>
      <c r="C90" s="60" t="s">
        <v>187</v>
      </c>
      <c r="D90" s="69"/>
      <c r="E90" s="14">
        <v>490</v>
      </c>
      <c r="F90" s="14">
        <v>390</v>
      </c>
      <c r="G90" s="14">
        <v>157.6</v>
      </c>
      <c r="H90" s="14">
        <v>157.6</v>
      </c>
      <c r="I90" s="14"/>
      <c r="J90" s="14"/>
      <c r="K90" s="14">
        <v>157.6</v>
      </c>
      <c r="L90" s="14">
        <v>0</v>
      </c>
      <c r="M90" s="34">
        <f t="shared" si="19"/>
        <v>0</v>
      </c>
      <c r="N90" s="14"/>
      <c r="O90" s="14"/>
      <c r="P90" s="14"/>
      <c r="Q90" s="14"/>
      <c r="R90" s="14"/>
      <c r="S90" s="34">
        <f t="shared" si="20"/>
        <v>0</v>
      </c>
      <c r="T90" s="14"/>
      <c r="U90" s="14"/>
      <c r="V90" s="14"/>
      <c r="W90" s="14"/>
      <c r="X90" s="14"/>
      <c r="Y90" s="34">
        <f t="shared" si="21"/>
        <v>157.6</v>
      </c>
      <c r="Z90" s="14">
        <f t="shared" si="22"/>
        <v>0</v>
      </c>
      <c r="AA90" s="14">
        <f t="shared" si="22"/>
        <v>0</v>
      </c>
      <c r="AB90" s="14">
        <f t="shared" si="23"/>
        <v>0</v>
      </c>
      <c r="AC90" s="14">
        <f t="shared" si="24"/>
        <v>157.6</v>
      </c>
      <c r="AD90" s="14">
        <f t="shared" si="24"/>
        <v>0</v>
      </c>
      <c r="AE90" s="17"/>
      <c r="AF90" s="16" t="s">
        <v>89</v>
      </c>
      <c r="AH90" s="36">
        <f t="shared" si="13"/>
        <v>0</v>
      </c>
    </row>
    <row r="91" spans="1:35" s="36" customFormat="1" ht="46.8" x14ac:dyDescent="0.3">
      <c r="A91" s="64">
        <v>3</v>
      </c>
      <c r="B91" s="60" t="s">
        <v>189</v>
      </c>
      <c r="C91" s="60" t="s">
        <v>187</v>
      </c>
      <c r="D91" s="12" t="s">
        <v>190</v>
      </c>
      <c r="E91" s="14">
        <v>3357</v>
      </c>
      <c r="F91" s="14">
        <v>3357</v>
      </c>
      <c r="G91" s="14">
        <v>1827.2</v>
      </c>
      <c r="H91" s="14">
        <v>1827.2</v>
      </c>
      <c r="I91" s="14"/>
      <c r="J91" s="14"/>
      <c r="K91" s="14">
        <v>1827.2</v>
      </c>
      <c r="L91" s="14">
        <v>0</v>
      </c>
      <c r="M91" s="34">
        <f t="shared" si="19"/>
        <v>200</v>
      </c>
      <c r="N91" s="14"/>
      <c r="O91" s="14"/>
      <c r="P91" s="14">
        <v>200</v>
      </c>
      <c r="Q91" s="14"/>
      <c r="R91" s="14"/>
      <c r="S91" s="34">
        <f t="shared" si="20"/>
        <v>200</v>
      </c>
      <c r="T91" s="14"/>
      <c r="U91" s="14"/>
      <c r="V91" s="14"/>
      <c r="W91" s="14">
        <f>P91</f>
        <v>200</v>
      </c>
      <c r="X91" s="14"/>
      <c r="Y91" s="34">
        <f t="shared" si="21"/>
        <v>1827.2</v>
      </c>
      <c r="Z91" s="14">
        <f t="shared" si="22"/>
        <v>0</v>
      </c>
      <c r="AA91" s="14">
        <f t="shared" si="22"/>
        <v>0</v>
      </c>
      <c r="AB91" s="14">
        <f t="shared" si="23"/>
        <v>200</v>
      </c>
      <c r="AC91" s="14">
        <f t="shared" si="24"/>
        <v>1627.2</v>
      </c>
      <c r="AD91" s="14">
        <f t="shared" si="24"/>
        <v>0</v>
      </c>
      <c r="AE91" s="17"/>
      <c r="AF91" s="16" t="s">
        <v>40</v>
      </c>
      <c r="AH91" s="36">
        <f t="shared" si="13"/>
        <v>0</v>
      </c>
    </row>
    <row r="92" spans="1:35" ht="31.2" x14ac:dyDescent="0.3">
      <c r="A92" s="64">
        <v>4</v>
      </c>
      <c r="B92" s="60" t="s">
        <v>191</v>
      </c>
      <c r="C92" s="60" t="s">
        <v>187</v>
      </c>
      <c r="D92" s="12"/>
      <c r="E92" s="14">
        <v>1200</v>
      </c>
      <c r="F92" s="14">
        <v>1200</v>
      </c>
      <c r="G92" s="14">
        <f>463.5-347.7</f>
        <v>115.80000000000001</v>
      </c>
      <c r="H92" s="14">
        <f>G92</f>
        <v>115.80000000000001</v>
      </c>
      <c r="I92" s="14"/>
      <c r="J92" s="14"/>
      <c r="K92" s="14">
        <f>G92</f>
        <v>115.80000000000001</v>
      </c>
      <c r="L92" s="14">
        <v>0</v>
      </c>
      <c r="M92" s="34">
        <f t="shared" si="19"/>
        <v>0</v>
      </c>
      <c r="N92" s="14"/>
      <c r="O92" s="14"/>
      <c r="P92" s="14"/>
      <c r="Q92" s="14"/>
      <c r="R92" s="14"/>
      <c r="S92" s="34">
        <f t="shared" si="20"/>
        <v>0</v>
      </c>
      <c r="T92" s="14"/>
      <c r="U92" s="14"/>
      <c r="V92" s="14"/>
      <c r="W92" s="14"/>
      <c r="X92" s="14"/>
      <c r="Y92" s="34">
        <f t="shared" si="21"/>
        <v>115.80000000000001</v>
      </c>
      <c r="Z92" s="14">
        <f t="shared" si="22"/>
        <v>0</v>
      </c>
      <c r="AA92" s="14">
        <f t="shared" si="22"/>
        <v>0</v>
      </c>
      <c r="AB92" s="14">
        <f t="shared" si="23"/>
        <v>0</v>
      </c>
      <c r="AC92" s="14">
        <f t="shared" si="24"/>
        <v>115.80000000000001</v>
      </c>
      <c r="AD92" s="14">
        <f t="shared" si="24"/>
        <v>0</v>
      </c>
      <c r="AE92" s="17"/>
      <c r="AF92" s="16" t="s">
        <v>67</v>
      </c>
      <c r="AH92" s="36">
        <f t="shared" si="13"/>
        <v>0</v>
      </c>
    </row>
    <row r="93" spans="1:35" s="24" customFormat="1" ht="48" customHeight="1" x14ac:dyDescent="0.3">
      <c r="A93" s="64">
        <v>5</v>
      </c>
      <c r="B93" s="60" t="s">
        <v>192</v>
      </c>
      <c r="C93" s="60" t="s">
        <v>187</v>
      </c>
      <c r="D93" s="12"/>
      <c r="E93" s="14">
        <v>10000</v>
      </c>
      <c r="F93" s="22">
        <v>6500</v>
      </c>
      <c r="G93" s="22">
        <f>6668.5-5943.6</f>
        <v>724.89999999999964</v>
      </c>
      <c r="H93" s="14">
        <f t="shared" ref="H93" si="28">G93</f>
        <v>724.89999999999964</v>
      </c>
      <c r="I93" s="14"/>
      <c r="J93" s="14"/>
      <c r="K93" s="14">
        <f t="shared" ref="K93" si="29">G93</f>
        <v>724.89999999999964</v>
      </c>
      <c r="L93" s="22">
        <v>0</v>
      </c>
      <c r="M93" s="34">
        <f t="shared" si="19"/>
        <v>0</v>
      </c>
      <c r="N93" s="14"/>
      <c r="O93" s="14"/>
      <c r="P93" s="14"/>
      <c r="Q93" s="14"/>
      <c r="R93" s="14"/>
      <c r="S93" s="34">
        <f t="shared" si="20"/>
        <v>0</v>
      </c>
      <c r="T93" s="14"/>
      <c r="U93" s="14"/>
      <c r="V93" s="14"/>
      <c r="W93" s="14"/>
      <c r="X93" s="14"/>
      <c r="Y93" s="34">
        <f t="shared" si="21"/>
        <v>724.89999999999964</v>
      </c>
      <c r="Z93" s="14">
        <f t="shared" si="22"/>
        <v>0</v>
      </c>
      <c r="AA93" s="14">
        <f t="shared" si="22"/>
        <v>0</v>
      </c>
      <c r="AB93" s="14">
        <f t="shared" si="23"/>
        <v>0</v>
      </c>
      <c r="AC93" s="14">
        <f t="shared" si="24"/>
        <v>724.89999999999964</v>
      </c>
      <c r="AD93" s="14">
        <f t="shared" si="24"/>
        <v>0</v>
      </c>
      <c r="AE93" s="23"/>
      <c r="AF93" s="16" t="s">
        <v>40</v>
      </c>
      <c r="AH93" s="36">
        <f t="shared" si="13"/>
        <v>0</v>
      </c>
    </row>
    <row r="94" spans="1:35" s="36" customFormat="1" ht="29.25" customHeight="1" x14ac:dyDescent="0.3">
      <c r="A94" s="47"/>
      <c r="B94" s="70" t="s">
        <v>195</v>
      </c>
      <c r="C94" s="70"/>
      <c r="D94" s="12"/>
      <c r="E94" s="13"/>
      <c r="F94" s="13"/>
      <c r="G94" s="13"/>
      <c r="H94" s="14"/>
      <c r="I94" s="14"/>
      <c r="J94" s="14"/>
      <c r="K94" s="13"/>
      <c r="L94" s="13">
        <v>0</v>
      </c>
      <c r="M94" s="34">
        <f t="shared" si="19"/>
        <v>0</v>
      </c>
      <c r="N94" s="14"/>
      <c r="O94" s="14"/>
      <c r="P94" s="14"/>
      <c r="Q94" s="14"/>
      <c r="R94" s="14"/>
      <c r="S94" s="34">
        <f t="shared" si="20"/>
        <v>0</v>
      </c>
      <c r="T94" s="14"/>
      <c r="U94" s="14"/>
      <c r="V94" s="14"/>
      <c r="W94" s="14"/>
      <c r="X94" s="14"/>
      <c r="Y94" s="34">
        <f t="shared" si="21"/>
        <v>0</v>
      </c>
      <c r="Z94" s="14">
        <f t="shared" si="22"/>
        <v>0</v>
      </c>
      <c r="AA94" s="14">
        <f t="shared" si="22"/>
        <v>0</v>
      </c>
      <c r="AB94" s="14">
        <f t="shared" si="23"/>
        <v>0</v>
      </c>
      <c r="AC94" s="14">
        <f t="shared" si="24"/>
        <v>0</v>
      </c>
      <c r="AD94" s="14">
        <f t="shared" si="24"/>
        <v>0</v>
      </c>
      <c r="AE94" s="15"/>
      <c r="AF94" s="16"/>
      <c r="AH94" s="36">
        <f t="shared" si="13"/>
        <v>0</v>
      </c>
    </row>
    <row r="95" spans="1:35" s="36" customFormat="1" ht="66" customHeight="1" x14ac:dyDescent="0.3">
      <c r="A95" s="49" t="s">
        <v>18</v>
      </c>
      <c r="B95" s="71" t="s">
        <v>196</v>
      </c>
      <c r="C95" s="60" t="s">
        <v>197</v>
      </c>
      <c r="D95" s="69" t="s">
        <v>198</v>
      </c>
      <c r="E95" s="14">
        <v>12073.202000000001</v>
      </c>
      <c r="F95" s="14">
        <v>12073.202000000001</v>
      </c>
      <c r="G95" s="14">
        <f>12073.202-11175.237</f>
        <v>897.96500000000015</v>
      </c>
      <c r="H95" s="14">
        <f>SUBTOTAL(9,I95:L95)</f>
        <v>333.40000000000009</v>
      </c>
      <c r="I95" s="14"/>
      <c r="J95" s="14"/>
      <c r="K95" s="14">
        <v>333.40000000000009</v>
      </c>
      <c r="L95" s="14">
        <v>0</v>
      </c>
      <c r="M95" s="34">
        <f t="shared" si="19"/>
        <v>750</v>
      </c>
      <c r="N95" s="14"/>
      <c r="O95" s="14"/>
      <c r="P95" s="14">
        <v>750</v>
      </c>
      <c r="Q95" s="14"/>
      <c r="R95" s="14"/>
      <c r="S95" s="34">
        <f t="shared" si="20"/>
        <v>185.03499999999985</v>
      </c>
      <c r="T95" s="14"/>
      <c r="U95" s="14"/>
      <c r="V95" s="14"/>
      <c r="W95" s="14">
        <f>333-G95+P95</f>
        <v>185.03499999999985</v>
      </c>
      <c r="X95" s="14"/>
      <c r="Y95" s="34">
        <f t="shared" si="21"/>
        <v>898.36500000000024</v>
      </c>
      <c r="Z95" s="14">
        <f t="shared" si="22"/>
        <v>0</v>
      </c>
      <c r="AA95" s="14">
        <f t="shared" si="22"/>
        <v>0</v>
      </c>
      <c r="AB95" s="14">
        <f t="shared" si="23"/>
        <v>750</v>
      </c>
      <c r="AC95" s="14">
        <f t="shared" si="24"/>
        <v>148.36500000000024</v>
      </c>
      <c r="AD95" s="14">
        <f t="shared" si="24"/>
        <v>0</v>
      </c>
      <c r="AE95" s="17"/>
      <c r="AF95" s="16" t="s">
        <v>40</v>
      </c>
      <c r="AH95" s="36">
        <f t="shared" si="13"/>
        <v>564.56500000000005</v>
      </c>
    </row>
    <row r="96" spans="1:35" s="36" customFormat="1" ht="66.75" customHeight="1" x14ac:dyDescent="0.3">
      <c r="A96" s="49" t="s">
        <v>20</v>
      </c>
      <c r="B96" s="57" t="s">
        <v>200</v>
      </c>
      <c r="C96" s="60" t="s">
        <v>197</v>
      </c>
      <c r="D96" s="12"/>
      <c r="E96" s="14">
        <v>8200</v>
      </c>
      <c r="F96" s="14">
        <v>8200</v>
      </c>
      <c r="G96" s="14">
        <f>2984-2421.1</f>
        <v>562.90000000000009</v>
      </c>
      <c r="H96" s="14">
        <f t="shared" ref="H96:H97" si="30">G96</f>
        <v>562.90000000000009</v>
      </c>
      <c r="I96" s="14"/>
      <c r="J96" s="14"/>
      <c r="K96" s="14">
        <f t="shared" ref="K96:K97" si="31">G96</f>
        <v>562.90000000000009</v>
      </c>
      <c r="L96" s="14">
        <v>0</v>
      </c>
      <c r="M96" s="34">
        <f t="shared" si="19"/>
        <v>500</v>
      </c>
      <c r="N96" s="14"/>
      <c r="O96" s="14"/>
      <c r="P96" s="14">
        <v>500</v>
      </c>
      <c r="Q96" s="14"/>
      <c r="R96" s="14"/>
      <c r="S96" s="34">
        <f t="shared" si="20"/>
        <v>500</v>
      </c>
      <c r="T96" s="14"/>
      <c r="U96" s="14"/>
      <c r="V96" s="14"/>
      <c r="W96" s="14">
        <v>500</v>
      </c>
      <c r="X96" s="14"/>
      <c r="Y96" s="34">
        <f t="shared" si="21"/>
        <v>562.90000000000009</v>
      </c>
      <c r="Z96" s="14">
        <f t="shared" si="22"/>
        <v>0</v>
      </c>
      <c r="AA96" s="14">
        <f t="shared" si="22"/>
        <v>0</v>
      </c>
      <c r="AB96" s="14">
        <f t="shared" si="23"/>
        <v>500</v>
      </c>
      <c r="AC96" s="14">
        <f t="shared" si="24"/>
        <v>62.900000000000091</v>
      </c>
      <c r="AD96" s="14">
        <f t="shared" si="24"/>
        <v>0</v>
      </c>
      <c r="AE96" s="17"/>
      <c r="AF96" s="16" t="s">
        <v>45</v>
      </c>
      <c r="AH96" s="36">
        <f t="shared" si="13"/>
        <v>0</v>
      </c>
      <c r="AI96" s="36">
        <v>500</v>
      </c>
    </row>
    <row r="97" spans="1:35" s="24" customFormat="1" ht="46.5" customHeight="1" x14ac:dyDescent="0.3">
      <c r="A97" s="72">
        <v>11</v>
      </c>
      <c r="B97" s="57" t="s">
        <v>201</v>
      </c>
      <c r="C97" s="60" t="s">
        <v>197</v>
      </c>
      <c r="D97" s="60"/>
      <c r="E97" s="22">
        <v>3960</v>
      </c>
      <c r="F97" s="22">
        <v>3960</v>
      </c>
      <c r="G97" s="22">
        <f>3945.8-2949</f>
        <v>996.80000000000018</v>
      </c>
      <c r="H97" s="14">
        <f t="shared" si="30"/>
        <v>996.80000000000018</v>
      </c>
      <c r="I97" s="14"/>
      <c r="J97" s="14"/>
      <c r="K97" s="14">
        <f t="shared" si="31"/>
        <v>996.80000000000018</v>
      </c>
      <c r="L97" s="22">
        <v>0</v>
      </c>
      <c r="M97" s="34">
        <f t="shared" si="19"/>
        <v>900</v>
      </c>
      <c r="N97" s="14"/>
      <c r="O97" s="14"/>
      <c r="P97" s="14">
        <v>900</v>
      </c>
      <c r="Q97" s="14"/>
      <c r="R97" s="14"/>
      <c r="S97" s="34">
        <f t="shared" si="20"/>
        <v>900</v>
      </c>
      <c r="T97" s="14"/>
      <c r="U97" s="14"/>
      <c r="V97" s="14"/>
      <c r="W97" s="14">
        <v>900</v>
      </c>
      <c r="X97" s="14"/>
      <c r="Y97" s="34">
        <f t="shared" si="21"/>
        <v>996.80000000000018</v>
      </c>
      <c r="Z97" s="14">
        <f t="shared" si="22"/>
        <v>0</v>
      </c>
      <c r="AA97" s="14">
        <f t="shared" si="22"/>
        <v>0</v>
      </c>
      <c r="AB97" s="14">
        <f t="shared" si="23"/>
        <v>900</v>
      </c>
      <c r="AC97" s="14">
        <f t="shared" si="24"/>
        <v>96.800000000000182</v>
      </c>
      <c r="AD97" s="14">
        <f t="shared" si="24"/>
        <v>0</v>
      </c>
      <c r="AE97" s="23"/>
      <c r="AF97" s="16" t="s">
        <v>34</v>
      </c>
      <c r="AH97" s="36">
        <f t="shared" si="13"/>
        <v>0</v>
      </c>
      <c r="AI97" s="24">
        <v>900</v>
      </c>
    </row>
    <row r="98" spans="1:35" s="24" customFormat="1" ht="24.75" customHeight="1" x14ac:dyDescent="0.3">
      <c r="A98" s="72"/>
      <c r="B98" s="73" t="s">
        <v>27</v>
      </c>
      <c r="C98" s="60"/>
      <c r="D98" s="60"/>
      <c r="E98" s="22"/>
      <c r="F98" s="22"/>
      <c r="G98" s="22"/>
      <c r="H98" s="14"/>
      <c r="I98" s="14"/>
      <c r="J98" s="14"/>
      <c r="K98" s="14"/>
      <c r="L98" s="22"/>
      <c r="M98" s="34">
        <f t="shared" si="19"/>
        <v>0</v>
      </c>
      <c r="N98" s="14"/>
      <c r="O98" s="14"/>
      <c r="P98" s="14"/>
      <c r="Q98" s="14"/>
      <c r="R98" s="14"/>
      <c r="S98" s="34">
        <f t="shared" si="20"/>
        <v>0</v>
      </c>
      <c r="T98" s="14"/>
      <c r="U98" s="14"/>
      <c r="V98" s="14"/>
      <c r="W98" s="14"/>
      <c r="X98" s="14"/>
      <c r="Y98" s="34">
        <f t="shared" si="21"/>
        <v>0</v>
      </c>
      <c r="Z98" s="14">
        <f t="shared" si="22"/>
        <v>0</v>
      </c>
      <c r="AA98" s="14">
        <f t="shared" si="22"/>
        <v>0</v>
      </c>
      <c r="AB98" s="14">
        <f t="shared" si="23"/>
        <v>0</v>
      </c>
      <c r="AC98" s="14">
        <f t="shared" si="24"/>
        <v>0</v>
      </c>
      <c r="AD98" s="14">
        <f t="shared" si="24"/>
        <v>0</v>
      </c>
      <c r="AE98" s="23"/>
      <c r="AF98" s="16"/>
      <c r="AH98" s="36">
        <f t="shared" si="13"/>
        <v>0</v>
      </c>
    </row>
    <row r="99" spans="1:35" s="36" customFormat="1" ht="52.5" customHeight="1" x14ac:dyDescent="0.3">
      <c r="A99" s="49" t="s">
        <v>57</v>
      </c>
      <c r="B99" s="74" t="s">
        <v>202</v>
      </c>
      <c r="C99" s="74" t="s">
        <v>29</v>
      </c>
      <c r="D99" s="56" t="s">
        <v>203</v>
      </c>
      <c r="E99" s="14">
        <v>941.18085099999996</v>
      </c>
      <c r="F99" s="14">
        <v>941.18085099999996</v>
      </c>
      <c r="G99" s="14">
        <v>98.7</v>
      </c>
      <c r="H99" s="14">
        <f>G99</f>
        <v>98.7</v>
      </c>
      <c r="I99" s="14"/>
      <c r="J99" s="14"/>
      <c r="K99" s="14">
        <f>H99</f>
        <v>98.7</v>
      </c>
      <c r="L99" s="14">
        <v>0</v>
      </c>
      <c r="M99" s="34">
        <f t="shared" si="19"/>
        <v>0</v>
      </c>
      <c r="N99" s="14"/>
      <c r="O99" s="14"/>
      <c r="P99" s="14"/>
      <c r="Q99" s="14"/>
      <c r="R99" s="14"/>
      <c r="S99" s="34">
        <f t="shared" si="20"/>
        <v>0</v>
      </c>
      <c r="T99" s="14"/>
      <c r="U99" s="14"/>
      <c r="V99" s="14"/>
      <c r="W99" s="14"/>
      <c r="X99" s="14"/>
      <c r="Y99" s="34">
        <f t="shared" si="21"/>
        <v>98.7</v>
      </c>
      <c r="Z99" s="14">
        <f t="shared" si="22"/>
        <v>0</v>
      </c>
      <c r="AA99" s="14">
        <f t="shared" si="22"/>
        <v>0</v>
      </c>
      <c r="AB99" s="14">
        <f t="shared" si="23"/>
        <v>0</v>
      </c>
      <c r="AC99" s="14">
        <f t="shared" si="24"/>
        <v>98.7</v>
      </c>
      <c r="AD99" s="14">
        <f t="shared" si="24"/>
        <v>0</v>
      </c>
      <c r="AE99" s="17"/>
      <c r="AF99" s="16" t="s">
        <v>40</v>
      </c>
      <c r="AH99" s="36">
        <f t="shared" ref="AH99:AH128" si="32">G99-H99</f>
        <v>0</v>
      </c>
    </row>
    <row r="100" spans="1:35" s="36" customFormat="1" ht="48" customHeight="1" x14ac:dyDescent="0.3">
      <c r="A100" s="49" t="s">
        <v>60</v>
      </c>
      <c r="B100" s="74" t="s">
        <v>204</v>
      </c>
      <c r="C100" s="74" t="s">
        <v>29</v>
      </c>
      <c r="D100" s="56" t="s">
        <v>205</v>
      </c>
      <c r="E100" s="14">
        <v>422.34156400000001</v>
      </c>
      <c r="F100" s="14">
        <v>422.34156400000001</v>
      </c>
      <c r="G100" s="14">
        <f>51.1-19</f>
        <v>32.1</v>
      </c>
      <c r="H100" s="14">
        <f>G100</f>
        <v>32.1</v>
      </c>
      <c r="I100" s="14"/>
      <c r="J100" s="14"/>
      <c r="K100" s="14">
        <f>H100</f>
        <v>32.1</v>
      </c>
      <c r="L100" s="14">
        <v>0</v>
      </c>
      <c r="M100" s="34">
        <f t="shared" si="19"/>
        <v>0</v>
      </c>
      <c r="N100" s="14"/>
      <c r="O100" s="14"/>
      <c r="P100" s="14"/>
      <c r="Q100" s="14"/>
      <c r="R100" s="14"/>
      <c r="S100" s="34">
        <f t="shared" si="20"/>
        <v>0</v>
      </c>
      <c r="T100" s="14"/>
      <c r="U100" s="14"/>
      <c r="V100" s="14"/>
      <c r="W100" s="14"/>
      <c r="X100" s="14"/>
      <c r="Y100" s="34">
        <f t="shared" si="21"/>
        <v>32.1</v>
      </c>
      <c r="Z100" s="14">
        <f t="shared" si="22"/>
        <v>0</v>
      </c>
      <c r="AA100" s="14">
        <f t="shared" si="22"/>
        <v>0</v>
      </c>
      <c r="AB100" s="14">
        <f t="shared" si="23"/>
        <v>0</v>
      </c>
      <c r="AC100" s="14">
        <f t="shared" si="24"/>
        <v>32.1</v>
      </c>
      <c r="AD100" s="14">
        <f t="shared" si="24"/>
        <v>0</v>
      </c>
      <c r="AE100" s="17"/>
      <c r="AF100" s="16" t="s">
        <v>40</v>
      </c>
      <c r="AH100" s="36">
        <f t="shared" si="32"/>
        <v>0</v>
      </c>
    </row>
    <row r="101" spans="1:35" s="24" customFormat="1" ht="51.75" customHeight="1" x14ac:dyDescent="0.3">
      <c r="A101" s="49" t="s">
        <v>61</v>
      </c>
      <c r="B101" s="60" t="s">
        <v>206</v>
      </c>
      <c r="C101" s="74" t="s">
        <v>29</v>
      </c>
      <c r="D101" s="12" t="s">
        <v>207</v>
      </c>
      <c r="E101" s="22">
        <v>881.23888199999999</v>
      </c>
      <c r="F101" s="22">
        <v>881.23888199999999</v>
      </c>
      <c r="G101" s="22">
        <f>881-492-59</f>
        <v>330</v>
      </c>
      <c r="H101" s="14">
        <f t="shared" ref="H101:H102" si="33">G101</f>
        <v>330</v>
      </c>
      <c r="I101" s="14"/>
      <c r="J101" s="14"/>
      <c r="K101" s="14">
        <f>H101</f>
        <v>330</v>
      </c>
      <c r="L101" s="22">
        <v>0</v>
      </c>
      <c r="M101" s="34">
        <f t="shared" si="19"/>
        <v>0</v>
      </c>
      <c r="N101" s="14"/>
      <c r="O101" s="14"/>
      <c r="P101" s="14"/>
      <c r="Q101" s="14"/>
      <c r="R101" s="14"/>
      <c r="S101" s="34">
        <f t="shared" si="20"/>
        <v>0</v>
      </c>
      <c r="T101" s="14"/>
      <c r="U101" s="14"/>
      <c r="V101" s="14"/>
      <c r="W101" s="14"/>
      <c r="X101" s="14"/>
      <c r="Y101" s="34">
        <f t="shared" si="21"/>
        <v>330</v>
      </c>
      <c r="Z101" s="14">
        <f t="shared" si="22"/>
        <v>0</v>
      </c>
      <c r="AA101" s="14">
        <f t="shared" si="22"/>
        <v>0</v>
      </c>
      <c r="AB101" s="14">
        <f t="shared" si="23"/>
        <v>0</v>
      </c>
      <c r="AC101" s="14">
        <f t="shared" si="24"/>
        <v>330</v>
      </c>
      <c r="AD101" s="14">
        <f t="shared" si="24"/>
        <v>0</v>
      </c>
      <c r="AE101" s="23"/>
      <c r="AF101" s="16" t="s">
        <v>31</v>
      </c>
      <c r="AH101" s="36">
        <f t="shared" si="32"/>
        <v>0</v>
      </c>
    </row>
    <row r="102" spans="1:35" s="24" customFormat="1" ht="50.25" customHeight="1" x14ac:dyDescent="0.3">
      <c r="A102" s="49" t="s">
        <v>64</v>
      </c>
      <c r="B102" s="60" t="s">
        <v>208</v>
      </c>
      <c r="C102" s="74" t="s">
        <v>29</v>
      </c>
      <c r="D102" s="12" t="s">
        <v>209</v>
      </c>
      <c r="E102" s="22">
        <f t="shared" ref="E102:E112" si="34">F102</f>
        <v>836.55457999999999</v>
      </c>
      <c r="F102" s="22">
        <v>836.55457999999999</v>
      </c>
      <c r="G102" s="22">
        <f>F102-19-18-48</f>
        <v>751.55457999999999</v>
      </c>
      <c r="H102" s="14">
        <f t="shared" si="33"/>
        <v>751.55457999999999</v>
      </c>
      <c r="I102" s="14"/>
      <c r="J102" s="14"/>
      <c r="K102" s="14">
        <f>H102</f>
        <v>751.55457999999999</v>
      </c>
      <c r="L102" s="22">
        <v>0</v>
      </c>
      <c r="M102" s="34">
        <f t="shared" si="19"/>
        <v>0</v>
      </c>
      <c r="N102" s="14"/>
      <c r="O102" s="14"/>
      <c r="P102" s="14"/>
      <c r="Q102" s="14"/>
      <c r="R102" s="14"/>
      <c r="S102" s="34">
        <f t="shared" si="20"/>
        <v>0</v>
      </c>
      <c r="T102" s="14"/>
      <c r="U102" s="14"/>
      <c r="V102" s="14"/>
      <c r="W102" s="14"/>
      <c r="X102" s="14"/>
      <c r="Y102" s="34">
        <f t="shared" si="21"/>
        <v>751.55457999999999</v>
      </c>
      <c r="Z102" s="14">
        <f t="shared" si="22"/>
        <v>0</v>
      </c>
      <c r="AA102" s="14">
        <f t="shared" si="22"/>
        <v>0</v>
      </c>
      <c r="AB102" s="14">
        <f t="shared" si="23"/>
        <v>0</v>
      </c>
      <c r="AC102" s="14">
        <f t="shared" si="24"/>
        <v>751.55457999999999</v>
      </c>
      <c r="AD102" s="14">
        <f t="shared" si="24"/>
        <v>0</v>
      </c>
      <c r="AE102" s="23"/>
      <c r="AF102" s="16" t="s">
        <v>34</v>
      </c>
      <c r="AH102" s="36">
        <f t="shared" si="32"/>
        <v>0</v>
      </c>
    </row>
    <row r="103" spans="1:35" s="24" customFormat="1" ht="48.75" customHeight="1" x14ac:dyDescent="0.3">
      <c r="A103" s="49" t="s">
        <v>71</v>
      </c>
      <c r="B103" s="60" t="s">
        <v>212</v>
      </c>
      <c r="C103" s="60" t="s">
        <v>211</v>
      </c>
      <c r="D103" s="12"/>
      <c r="E103" s="22">
        <f t="shared" si="34"/>
        <v>300</v>
      </c>
      <c r="F103" s="22">
        <v>300</v>
      </c>
      <c r="G103" s="22">
        <v>162</v>
      </c>
      <c r="H103" s="14">
        <v>162.4</v>
      </c>
      <c r="I103" s="14"/>
      <c r="J103" s="14"/>
      <c r="K103" s="22">
        <v>162.4</v>
      </c>
      <c r="L103" s="22">
        <v>0</v>
      </c>
      <c r="M103" s="34">
        <f t="shared" si="19"/>
        <v>0</v>
      </c>
      <c r="N103" s="14"/>
      <c r="O103" s="14"/>
      <c r="P103" s="14"/>
      <c r="Q103" s="14"/>
      <c r="R103" s="14"/>
      <c r="S103" s="34">
        <f t="shared" si="20"/>
        <v>162.4</v>
      </c>
      <c r="T103" s="14"/>
      <c r="U103" s="14"/>
      <c r="V103" s="14"/>
      <c r="W103" s="14">
        <f>K103</f>
        <v>162.4</v>
      </c>
      <c r="X103" s="14"/>
      <c r="Y103" s="34">
        <f t="shared" si="21"/>
        <v>0</v>
      </c>
      <c r="Z103" s="14">
        <f t="shared" si="22"/>
        <v>0</v>
      </c>
      <c r="AA103" s="14">
        <f t="shared" si="22"/>
        <v>0</v>
      </c>
      <c r="AB103" s="14">
        <f t="shared" si="23"/>
        <v>0</v>
      </c>
      <c r="AC103" s="14">
        <f t="shared" si="24"/>
        <v>0</v>
      </c>
      <c r="AD103" s="14">
        <f t="shared" si="24"/>
        <v>0</v>
      </c>
      <c r="AE103" s="23"/>
      <c r="AF103" s="16" t="s">
        <v>37</v>
      </c>
      <c r="AH103" s="36">
        <f t="shared" si="32"/>
        <v>-0.40000000000000568</v>
      </c>
    </row>
    <row r="104" spans="1:35" s="24" customFormat="1" ht="99" customHeight="1" x14ac:dyDescent="0.3">
      <c r="A104" s="49" t="s">
        <v>73</v>
      </c>
      <c r="B104" s="60" t="s">
        <v>213</v>
      </c>
      <c r="C104" s="60" t="s">
        <v>211</v>
      </c>
      <c r="D104" s="12"/>
      <c r="E104" s="22">
        <f t="shared" si="34"/>
        <v>300</v>
      </c>
      <c r="F104" s="22">
        <v>300</v>
      </c>
      <c r="G104" s="22">
        <v>57</v>
      </c>
      <c r="H104" s="14">
        <v>56.599999999999994</v>
      </c>
      <c r="I104" s="14"/>
      <c r="J104" s="14"/>
      <c r="K104" s="22">
        <v>56.599999999999994</v>
      </c>
      <c r="L104" s="22">
        <v>0</v>
      </c>
      <c r="M104" s="34">
        <f t="shared" si="19"/>
        <v>0</v>
      </c>
      <c r="N104" s="14"/>
      <c r="O104" s="14"/>
      <c r="P104" s="14"/>
      <c r="Q104" s="14"/>
      <c r="R104" s="14"/>
      <c r="S104" s="34">
        <f t="shared" si="20"/>
        <v>0</v>
      </c>
      <c r="T104" s="14"/>
      <c r="U104" s="14"/>
      <c r="V104" s="14"/>
      <c r="W104" s="14"/>
      <c r="X104" s="14"/>
      <c r="Y104" s="34">
        <f t="shared" si="21"/>
        <v>56.599999999999994</v>
      </c>
      <c r="Z104" s="14">
        <f t="shared" si="22"/>
        <v>0</v>
      </c>
      <c r="AA104" s="14">
        <f t="shared" si="22"/>
        <v>0</v>
      </c>
      <c r="AB104" s="14">
        <f t="shared" si="23"/>
        <v>0</v>
      </c>
      <c r="AC104" s="14">
        <f t="shared" si="24"/>
        <v>56.599999999999994</v>
      </c>
      <c r="AD104" s="14">
        <f t="shared" si="24"/>
        <v>0</v>
      </c>
      <c r="AE104" s="23"/>
      <c r="AF104" s="16" t="s">
        <v>37</v>
      </c>
      <c r="AH104" s="36">
        <f t="shared" si="32"/>
        <v>0.40000000000000568</v>
      </c>
    </row>
    <row r="105" spans="1:35" s="24" customFormat="1" ht="77.25" customHeight="1" x14ac:dyDescent="0.3">
      <c r="A105" s="49" t="s">
        <v>76</v>
      </c>
      <c r="B105" s="75" t="s">
        <v>214</v>
      </c>
      <c r="C105" s="60" t="s">
        <v>211</v>
      </c>
      <c r="D105" s="12"/>
      <c r="E105" s="22">
        <f t="shared" si="34"/>
        <v>800</v>
      </c>
      <c r="F105" s="22">
        <v>800</v>
      </c>
      <c r="G105" s="22">
        <v>600</v>
      </c>
      <c r="H105" s="14">
        <v>600</v>
      </c>
      <c r="I105" s="14"/>
      <c r="J105" s="14"/>
      <c r="K105" s="22">
        <v>600</v>
      </c>
      <c r="L105" s="22">
        <v>0</v>
      </c>
      <c r="M105" s="34">
        <f t="shared" si="19"/>
        <v>600</v>
      </c>
      <c r="N105" s="14"/>
      <c r="O105" s="14"/>
      <c r="P105" s="14">
        <v>600</v>
      </c>
      <c r="Q105" s="14"/>
      <c r="R105" s="14"/>
      <c r="S105" s="34">
        <f t="shared" si="20"/>
        <v>480.25900000000001</v>
      </c>
      <c r="T105" s="14"/>
      <c r="U105" s="14"/>
      <c r="V105" s="14"/>
      <c r="W105" s="92">
        <f>K105-119.741</f>
        <v>480.25900000000001</v>
      </c>
      <c r="X105" s="14"/>
      <c r="Y105" s="34">
        <f t="shared" si="21"/>
        <v>719.74099999999999</v>
      </c>
      <c r="Z105" s="14">
        <f t="shared" si="22"/>
        <v>0</v>
      </c>
      <c r="AA105" s="14">
        <f t="shared" si="22"/>
        <v>0</v>
      </c>
      <c r="AB105" s="14">
        <f t="shared" si="23"/>
        <v>600</v>
      </c>
      <c r="AC105" s="14">
        <f t="shared" si="24"/>
        <v>119.74099999999999</v>
      </c>
      <c r="AD105" s="14">
        <f t="shared" si="24"/>
        <v>0</v>
      </c>
      <c r="AE105" s="25"/>
      <c r="AF105" s="12" t="s">
        <v>75</v>
      </c>
      <c r="AH105" s="36">
        <f t="shared" si="32"/>
        <v>0</v>
      </c>
    </row>
    <row r="106" spans="1:35" s="35" customFormat="1" ht="48.75" customHeight="1" x14ac:dyDescent="0.3">
      <c r="A106" s="95" t="s">
        <v>78</v>
      </c>
      <c r="B106" s="97" t="s">
        <v>215</v>
      </c>
      <c r="C106" s="104" t="s">
        <v>211</v>
      </c>
      <c r="D106" s="105"/>
      <c r="E106" s="106">
        <f t="shared" si="34"/>
        <v>446.29</v>
      </c>
      <c r="F106" s="106">
        <v>446.29</v>
      </c>
      <c r="G106" s="106">
        <v>100</v>
      </c>
      <c r="H106" s="99">
        <f t="shared" ref="H106:H112" si="35">G106</f>
        <v>100</v>
      </c>
      <c r="I106" s="99"/>
      <c r="J106" s="99"/>
      <c r="K106" s="106">
        <f t="shared" ref="K106:K112" si="36">H106</f>
        <v>100</v>
      </c>
      <c r="L106" s="106">
        <v>0</v>
      </c>
      <c r="M106" s="34">
        <f t="shared" si="19"/>
        <v>400</v>
      </c>
      <c r="N106" s="99"/>
      <c r="O106" s="99"/>
      <c r="P106" s="99">
        <v>400</v>
      </c>
      <c r="Q106" s="99"/>
      <c r="R106" s="99"/>
      <c r="S106" s="34">
        <f t="shared" si="20"/>
        <v>53.71</v>
      </c>
      <c r="T106" s="99"/>
      <c r="U106" s="99"/>
      <c r="V106" s="99"/>
      <c r="W106" s="99">
        <f>100-46.29</f>
        <v>53.71</v>
      </c>
      <c r="X106" s="99"/>
      <c r="Y106" s="34">
        <f t="shared" si="21"/>
        <v>446.29</v>
      </c>
      <c r="Z106" s="99">
        <f t="shared" si="22"/>
        <v>0</v>
      </c>
      <c r="AA106" s="99">
        <f t="shared" si="22"/>
        <v>0</v>
      </c>
      <c r="AB106" s="99">
        <f t="shared" si="23"/>
        <v>400</v>
      </c>
      <c r="AC106" s="99">
        <f t="shared" si="24"/>
        <v>46.29</v>
      </c>
      <c r="AD106" s="99">
        <f t="shared" si="24"/>
        <v>0</v>
      </c>
      <c r="AE106" s="110"/>
      <c r="AF106" s="105" t="s">
        <v>40</v>
      </c>
      <c r="AH106" s="85">
        <f t="shared" si="32"/>
        <v>0</v>
      </c>
    </row>
    <row r="107" spans="1:35" s="35" customFormat="1" ht="47.4" customHeight="1" x14ac:dyDescent="0.3">
      <c r="A107" s="95" t="s">
        <v>23</v>
      </c>
      <c r="B107" s="97" t="s">
        <v>216</v>
      </c>
      <c r="C107" s="104" t="s">
        <v>211</v>
      </c>
      <c r="D107" s="105"/>
      <c r="E107" s="106">
        <f t="shared" si="34"/>
        <v>500</v>
      </c>
      <c r="F107" s="106">
        <v>500</v>
      </c>
      <c r="G107" s="106">
        <v>100</v>
      </c>
      <c r="H107" s="99">
        <f t="shared" si="35"/>
        <v>100</v>
      </c>
      <c r="I107" s="99"/>
      <c r="J107" s="99"/>
      <c r="K107" s="106">
        <f t="shared" si="36"/>
        <v>100</v>
      </c>
      <c r="L107" s="106">
        <v>0</v>
      </c>
      <c r="M107" s="34">
        <f t="shared" si="19"/>
        <v>400</v>
      </c>
      <c r="N107" s="99"/>
      <c r="O107" s="99"/>
      <c r="P107" s="99">
        <v>400</v>
      </c>
      <c r="Q107" s="99"/>
      <c r="R107" s="99"/>
      <c r="S107" s="34">
        <f t="shared" si="20"/>
        <v>25.914000000000001</v>
      </c>
      <c r="T107" s="99"/>
      <c r="U107" s="99"/>
      <c r="V107" s="99"/>
      <c r="W107" s="99">
        <v>25.914000000000001</v>
      </c>
      <c r="X107" s="99"/>
      <c r="Y107" s="34">
        <f t="shared" si="21"/>
        <v>474.08600000000001</v>
      </c>
      <c r="Z107" s="99">
        <f t="shared" si="22"/>
        <v>0</v>
      </c>
      <c r="AA107" s="99">
        <f t="shared" si="22"/>
        <v>0</v>
      </c>
      <c r="AB107" s="99">
        <f t="shared" si="23"/>
        <v>400</v>
      </c>
      <c r="AC107" s="99">
        <f t="shared" si="24"/>
        <v>74.085999999999999</v>
      </c>
      <c r="AD107" s="99">
        <f t="shared" si="24"/>
        <v>0</v>
      </c>
      <c r="AE107" s="110"/>
      <c r="AF107" s="105" t="s">
        <v>217</v>
      </c>
      <c r="AH107" s="85">
        <f t="shared" si="32"/>
        <v>0</v>
      </c>
    </row>
    <row r="108" spans="1:35" s="35" customFormat="1" ht="66" customHeight="1" x14ac:dyDescent="0.3">
      <c r="A108" s="95" t="s">
        <v>82</v>
      </c>
      <c r="B108" s="109" t="s">
        <v>218</v>
      </c>
      <c r="C108" s="104" t="s">
        <v>211</v>
      </c>
      <c r="D108" s="105"/>
      <c r="E108" s="106">
        <f t="shared" si="34"/>
        <v>150</v>
      </c>
      <c r="F108" s="106">
        <v>150</v>
      </c>
      <c r="G108" s="106">
        <v>7</v>
      </c>
      <c r="H108" s="99">
        <f t="shared" si="35"/>
        <v>7</v>
      </c>
      <c r="I108" s="99"/>
      <c r="J108" s="99"/>
      <c r="K108" s="106">
        <f t="shared" si="36"/>
        <v>7</v>
      </c>
      <c r="L108" s="106">
        <v>0</v>
      </c>
      <c r="M108" s="34">
        <f t="shared" si="19"/>
        <v>0</v>
      </c>
      <c r="N108" s="99"/>
      <c r="O108" s="99"/>
      <c r="P108" s="99"/>
      <c r="Q108" s="99"/>
      <c r="R108" s="99"/>
      <c r="S108" s="34">
        <f t="shared" si="20"/>
        <v>0</v>
      </c>
      <c r="T108" s="99"/>
      <c r="U108" s="99"/>
      <c r="V108" s="99"/>
      <c r="W108" s="99"/>
      <c r="X108" s="99"/>
      <c r="Y108" s="34">
        <f t="shared" si="21"/>
        <v>7</v>
      </c>
      <c r="Z108" s="99">
        <f t="shared" si="22"/>
        <v>0</v>
      </c>
      <c r="AA108" s="99">
        <f t="shared" si="22"/>
        <v>0</v>
      </c>
      <c r="AB108" s="99">
        <f t="shared" si="23"/>
        <v>0</v>
      </c>
      <c r="AC108" s="99">
        <f t="shared" si="24"/>
        <v>7</v>
      </c>
      <c r="AD108" s="99">
        <f t="shared" si="24"/>
        <v>0</v>
      </c>
      <c r="AE108" s="110"/>
      <c r="AF108" s="105" t="s">
        <v>37</v>
      </c>
      <c r="AH108" s="85">
        <f t="shared" si="32"/>
        <v>0</v>
      </c>
    </row>
    <row r="109" spans="1:35" s="35" customFormat="1" ht="78" customHeight="1" x14ac:dyDescent="0.3">
      <c r="A109" s="95" t="s">
        <v>22</v>
      </c>
      <c r="B109" s="109" t="s">
        <v>221</v>
      </c>
      <c r="C109" s="104"/>
      <c r="D109" s="105"/>
      <c r="E109" s="106">
        <f t="shared" si="34"/>
        <v>415.029</v>
      </c>
      <c r="F109" s="111">
        <v>415.029</v>
      </c>
      <c r="G109" s="110">
        <v>50</v>
      </c>
      <c r="H109" s="99">
        <f t="shared" si="35"/>
        <v>50</v>
      </c>
      <c r="I109" s="99"/>
      <c r="J109" s="99"/>
      <c r="K109" s="106">
        <f t="shared" si="36"/>
        <v>50</v>
      </c>
      <c r="L109" s="110">
        <v>0</v>
      </c>
      <c r="M109" s="34">
        <f t="shared" si="19"/>
        <v>0</v>
      </c>
      <c r="N109" s="99"/>
      <c r="O109" s="99"/>
      <c r="P109" s="99"/>
      <c r="Q109" s="99"/>
      <c r="R109" s="99"/>
      <c r="S109" s="34">
        <f t="shared" si="20"/>
        <v>0</v>
      </c>
      <c r="T109" s="99"/>
      <c r="U109" s="99"/>
      <c r="V109" s="99"/>
      <c r="W109" s="99"/>
      <c r="X109" s="99"/>
      <c r="Y109" s="34">
        <f t="shared" si="21"/>
        <v>50</v>
      </c>
      <c r="Z109" s="99">
        <f t="shared" si="22"/>
        <v>0</v>
      </c>
      <c r="AA109" s="99">
        <f t="shared" si="22"/>
        <v>0</v>
      </c>
      <c r="AB109" s="99">
        <f t="shared" si="23"/>
        <v>0</v>
      </c>
      <c r="AC109" s="99">
        <f t="shared" si="24"/>
        <v>50</v>
      </c>
      <c r="AD109" s="99">
        <f t="shared" si="24"/>
        <v>0</v>
      </c>
      <c r="AE109" s="110"/>
      <c r="AF109" s="105"/>
      <c r="AH109" s="85">
        <f t="shared" si="32"/>
        <v>0</v>
      </c>
    </row>
    <row r="110" spans="1:35" s="35" customFormat="1" ht="75.599999999999994" customHeight="1" x14ac:dyDescent="0.3">
      <c r="A110" s="95" t="s">
        <v>92</v>
      </c>
      <c r="B110" s="109" t="s">
        <v>222</v>
      </c>
      <c r="C110" s="104"/>
      <c r="D110" s="105"/>
      <c r="E110" s="106">
        <f t="shared" si="34"/>
        <v>1030.0609999999999</v>
      </c>
      <c r="F110" s="111">
        <v>1030.0609999999999</v>
      </c>
      <c r="G110" s="110">
        <v>100</v>
      </c>
      <c r="H110" s="99">
        <f t="shared" si="35"/>
        <v>100</v>
      </c>
      <c r="I110" s="99"/>
      <c r="J110" s="99"/>
      <c r="K110" s="106">
        <f t="shared" si="36"/>
        <v>100</v>
      </c>
      <c r="L110" s="110">
        <v>0</v>
      </c>
      <c r="M110" s="34">
        <f t="shared" si="19"/>
        <v>0</v>
      </c>
      <c r="N110" s="99"/>
      <c r="O110" s="99"/>
      <c r="P110" s="99"/>
      <c r="Q110" s="99"/>
      <c r="R110" s="99"/>
      <c r="S110" s="34">
        <f t="shared" si="20"/>
        <v>0</v>
      </c>
      <c r="T110" s="99"/>
      <c r="U110" s="99"/>
      <c r="V110" s="99"/>
      <c r="W110" s="99"/>
      <c r="X110" s="99"/>
      <c r="Y110" s="34">
        <f t="shared" si="21"/>
        <v>100</v>
      </c>
      <c r="Z110" s="99">
        <f t="shared" si="22"/>
        <v>0</v>
      </c>
      <c r="AA110" s="99">
        <f t="shared" si="22"/>
        <v>0</v>
      </c>
      <c r="AB110" s="99">
        <f t="shared" si="23"/>
        <v>0</v>
      </c>
      <c r="AC110" s="99">
        <f t="shared" si="24"/>
        <v>100</v>
      </c>
      <c r="AD110" s="99">
        <f t="shared" si="24"/>
        <v>0</v>
      </c>
      <c r="AE110" s="110"/>
      <c r="AF110" s="105"/>
      <c r="AH110" s="85">
        <f t="shared" si="32"/>
        <v>0</v>
      </c>
    </row>
    <row r="111" spans="1:35" s="35" customFormat="1" ht="73.2" customHeight="1" x14ac:dyDescent="0.3">
      <c r="A111" s="95" t="s">
        <v>94</v>
      </c>
      <c r="B111" s="109" t="s">
        <v>223</v>
      </c>
      <c r="C111" s="104"/>
      <c r="D111" s="105"/>
      <c r="E111" s="106">
        <f t="shared" si="34"/>
        <v>1054.3820000000001</v>
      </c>
      <c r="F111" s="111">
        <v>1054.3820000000001</v>
      </c>
      <c r="G111" s="110">
        <v>100</v>
      </c>
      <c r="H111" s="99">
        <f t="shared" si="35"/>
        <v>100</v>
      </c>
      <c r="I111" s="99"/>
      <c r="J111" s="99"/>
      <c r="K111" s="106">
        <f t="shared" si="36"/>
        <v>100</v>
      </c>
      <c r="L111" s="110">
        <v>0</v>
      </c>
      <c r="M111" s="34">
        <f t="shared" si="19"/>
        <v>0</v>
      </c>
      <c r="N111" s="99"/>
      <c r="O111" s="99"/>
      <c r="P111" s="99"/>
      <c r="Q111" s="99"/>
      <c r="R111" s="99"/>
      <c r="S111" s="34">
        <f t="shared" si="20"/>
        <v>0</v>
      </c>
      <c r="T111" s="99"/>
      <c r="U111" s="99"/>
      <c r="V111" s="99"/>
      <c r="W111" s="99"/>
      <c r="X111" s="99"/>
      <c r="Y111" s="34">
        <f t="shared" si="21"/>
        <v>100</v>
      </c>
      <c r="Z111" s="99">
        <f t="shared" si="22"/>
        <v>0</v>
      </c>
      <c r="AA111" s="99">
        <f t="shared" si="22"/>
        <v>0</v>
      </c>
      <c r="AB111" s="99">
        <f t="shared" si="23"/>
        <v>0</v>
      </c>
      <c r="AC111" s="99">
        <f t="shared" si="24"/>
        <v>100</v>
      </c>
      <c r="AD111" s="99">
        <f t="shared" si="24"/>
        <v>0</v>
      </c>
      <c r="AE111" s="110"/>
      <c r="AF111" s="105"/>
      <c r="AH111" s="85">
        <f t="shared" si="32"/>
        <v>0</v>
      </c>
    </row>
    <row r="112" spans="1:35" s="35" customFormat="1" ht="60.75" customHeight="1" x14ac:dyDescent="0.3">
      <c r="A112" s="95" t="s">
        <v>96</v>
      </c>
      <c r="B112" s="109" t="s">
        <v>224</v>
      </c>
      <c r="C112" s="104"/>
      <c r="D112" s="105"/>
      <c r="E112" s="106">
        <f t="shared" si="34"/>
        <v>1635</v>
      </c>
      <c r="F112" s="111">
        <v>1635</v>
      </c>
      <c r="G112" s="110">
        <v>100</v>
      </c>
      <c r="H112" s="99">
        <f t="shared" si="35"/>
        <v>100</v>
      </c>
      <c r="I112" s="99"/>
      <c r="J112" s="99"/>
      <c r="K112" s="106">
        <f t="shared" si="36"/>
        <v>100</v>
      </c>
      <c r="L112" s="110">
        <v>0</v>
      </c>
      <c r="M112" s="34">
        <f t="shared" si="19"/>
        <v>250</v>
      </c>
      <c r="N112" s="99"/>
      <c r="O112" s="99"/>
      <c r="P112" s="99">
        <v>250</v>
      </c>
      <c r="Q112" s="99"/>
      <c r="R112" s="99"/>
      <c r="S112" s="34">
        <f t="shared" si="20"/>
        <v>0</v>
      </c>
      <c r="T112" s="99"/>
      <c r="U112" s="99"/>
      <c r="V112" s="99"/>
      <c r="W112" s="99"/>
      <c r="X112" s="99"/>
      <c r="Y112" s="34">
        <f t="shared" si="21"/>
        <v>350</v>
      </c>
      <c r="Z112" s="99">
        <f t="shared" si="22"/>
        <v>0</v>
      </c>
      <c r="AA112" s="99">
        <f t="shared" si="22"/>
        <v>0</v>
      </c>
      <c r="AB112" s="99">
        <f t="shared" si="23"/>
        <v>250</v>
      </c>
      <c r="AC112" s="99">
        <f t="shared" si="24"/>
        <v>100</v>
      </c>
      <c r="AD112" s="99">
        <f t="shared" si="24"/>
        <v>0</v>
      </c>
      <c r="AE112" s="110"/>
      <c r="AF112" s="105"/>
      <c r="AH112" s="85">
        <f t="shared" si="32"/>
        <v>0</v>
      </c>
    </row>
    <row r="113" spans="1:34" s="85" customFormat="1" ht="136.5" customHeight="1" x14ac:dyDescent="0.3">
      <c r="A113" s="95" t="s">
        <v>163</v>
      </c>
      <c r="B113" s="96" t="s">
        <v>164</v>
      </c>
      <c r="C113" s="97" t="s">
        <v>87</v>
      </c>
      <c r="D113" s="98"/>
      <c r="E113" s="99">
        <v>13671</v>
      </c>
      <c r="F113" s="99">
        <v>13671</v>
      </c>
      <c r="G113" s="99">
        <f>H113</f>
        <v>2000</v>
      </c>
      <c r="H113" s="99">
        <v>2000</v>
      </c>
      <c r="I113" s="99"/>
      <c r="J113" s="99"/>
      <c r="K113" s="63">
        <v>2000</v>
      </c>
      <c r="L113" s="99">
        <v>0</v>
      </c>
      <c r="M113" s="34">
        <f>SUM(N113:R113)</f>
        <v>200</v>
      </c>
      <c r="N113" s="99"/>
      <c r="O113" s="99"/>
      <c r="P113" s="99">
        <v>200</v>
      </c>
      <c r="Q113" s="99"/>
      <c r="R113" s="99"/>
      <c r="S113" s="34">
        <f>SUM(T113:X113)</f>
        <v>2000</v>
      </c>
      <c r="T113" s="99"/>
      <c r="U113" s="99"/>
      <c r="V113" s="99"/>
      <c r="W113" s="99">
        <f>K113</f>
        <v>2000</v>
      </c>
      <c r="X113" s="99"/>
      <c r="Y113" s="34">
        <f>SUM(Z113:AD113)</f>
        <v>200</v>
      </c>
      <c r="Z113" s="99">
        <f>I113+N113-T113</f>
        <v>0</v>
      </c>
      <c r="AA113" s="99">
        <f>J113+O113-U113</f>
        <v>0</v>
      </c>
      <c r="AB113" s="99">
        <f>P113-V113</f>
        <v>200</v>
      </c>
      <c r="AC113" s="99">
        <f>K113+Q113-W113</f>
        <v>0</v>
      </c>
      <c r="AD113" s="99">
        <f>L113+R113-X113</f>
        <v>0</v>
      </c>
      <c r="AE113" s="100" t="s">
        <v>260</v>
      </c>
      <c r="AF113" s="82"/>
      <c r="AH113" s="85">
        <f>G113-H113</f>
        <v>0</v>
      </c>
    </row>
    <row r="114" spans="1:34" s="85" customFormat="1" ht="176.25" customHeight="1" x14ac:dyDescent="0.3">
      <c r="A114" s="95" t="s">
        <v>181</v>
      </c>
      <c r="B114" s="101" t="s">
        <v>182</v>
      </c>
      <c r="C114" s="102" t="s">
        <v>168</v>
      </c>
      <c r="D114" s="98"/>
      <c r="E114" s="99">
        <v>15202</v>
      </c>
      <c r="F114" s="99">
        <v>15202</v>
      </c>
      <c r="G114" s="99">
        <v>13202</v>
      </c>
      <c r="H114" s="99">
        <f>K114</f>
        <v>13202</v>
      </c>
      <c r="I114" s="99"/>
      <c r="J114" s="99"/>
      <c r="K114" s="99">
        <f>G114</f>
        <v>13202</v>
      </c>
      <c r="L114" s="99">
        <v>0</v>
      </c>
      <c r="M114" s="34">
        <f t="shared" si="19"/>
        <v>0</v>
      </c>
      <c r="N114" s="99"/>
      <c r="O114" s="99"/>
      <c r="P114" s="99"/>
      <c r="Q114" s="99"/>
      <c r="R114" s="99"/>
      <c r="S114" s="34">
        <f t="shared" si="20"/>
        <v>13202</v>
      </c>
      <c r="T114" s="99"/>
      <c r="U114" s="99"/>
      <c r="V114" s="99"/>
      <c r="W114" s="99">
        <v>13202</v>
      </c>
      <c r="X114" s="99"/>
      <c r="Y114" s="34">
        <f t="shared" si="21"/>
        <v>0</v>
      </c>
      <c r="Z114" s="99">
        <f t="shared" si="22"/>
        <v>0</v>
      </c>
      <c r="AA114" s="99">
        <f t="shared" si="22"/>
        <v>0</v>
      </c>
      <c r="AB114" s="99">
        <f t="shared" si="23"/>
        <v>0</v>
      </c>
      <c r="AC114" s="99">
        <f t="shared" si="24"/>
        <v>0</v>
      </c>
      <c r="AD114" s="99">
        <f t="shared" si="24"/>
        <v>0</v>
      </c>
      <c r="AE114" s="100" t="s">
        <v>261</v>
      </c>
      <c r="AF114" s="82" t="s">
        <v>37</v>
      </c>
      <c r="AH114" s="85">
        <f t="shared" si="32"/>
        <v>0</v>
      </c>
    </row>
    <row r="115" spans="1:34" s="46" customFormat="1" ht="42" customHeight="1" x14ac:dyDescent="0.3">
      <c r="A115" s="44" t="s">
        <v>225</v>
      </c>
      <c r="B115" s="78" t="s">
        <v>226</v>
      </c>
      <c r="C115" s="78"/>
      <c r="D115" s="11"/>
      <c r="E115" s="27">
        <f t="shared" ref="E115:AD115" si="37">SUM(E116:E132)</f>
        <v>161196.79699999999</v>
      </c>
      <c r="F115" s="27">
        <f t="shared" si="37"/>
        <v>161196.79699999999</v>
      </c>
      <c r="G115" s="27">
        <f t="shared" si="37"/>
        <v>23553.703000000001</v>
      </c>
      <c r="H115" s="27">
        <f t="shared" si="37"/>
        <v>129901.50000000001</v>
      </c>
      <c r="I115" s="27">
        <f t="shared" si="37"/>
        <v>0</v>
      </c>
      <c r="J115" s="27">
        <f t="shared" si="37"/>
        <v>2000</v>
      </c>
      <c r="K115" s="27">
        <f t="shared" si="37"/>
        <v>127001.50000000001</v>
      </c>
      <c r="L115" s="27">
        <f t="shared" si="37"/>
        <v>900</v>
      </c>
      <c r="M115" s="27">
        <f t="shared" si="37"/>
        <v>15582</v>
      </c>
      <c r="N115" s="27">
        <f t="shared" si="37"/>
        <v>0</v>
      </c>
      <c r="O115" s="27">
        <f t="shared" si="37"/>
        <v>0</v>
      </c>
      <c r="P115" s="27">
        <f t="shared" si="37"/>
        <v>14950</v>
      </c>
      <c r="Q115" s="27">
        <f t="shared" si="37"/>
        <v>632</v>
      </c>
      <c r="R115" s="27">
        <f t="shared" si="37"/>
        <v>0</v>
      </c>
      <c r="S115" s="27">
        <f t="shared" si="37"/>
        <v>34976.072</v>
      </c>
      <c r="T115" s="27">
        <f t="shared" si="37"/>
        <v>0</v>
      </c>
      <c r="U115" s="27">
        <f t="shared" si="37"/>
        <v>2000</v>
      </c>
      <c r="V115" s="27">
        <f t="shared" si="37"/>
        <v>0</v>
      </c>
      <c r="W115" s="27">
        <f t="shared" si="37"/>
        <v>32076.072</v>
      </c>
      <c r="X115" s="27">
        <f t="shared" si="37"/>
        <v>900</v>
      </c>
      <c r="Y115" s="27">
        <f t="shared" si="37"/>
        <v>110507.428</v>
      </c>
      <c r="Z115" s="27">
        <f t="shared" si="37"/>
        <v>0</v>
      </c>
      <c r="AA115" s="27">
        <f t="shared" si="37"/>
        <v>0</v>
      </c>
      <c r="AB115" s="27">
        <f t="shared" si="37"/>
        <v>14950</v>
      </c>
      <c r="AC115" s="27">
        <f t="shared" si="37"/>
        <v>95557.428</v>
      </c>
      <c r="AD115" s="27">
        <f t="shared" si="37"/>
        <v>0</v>
      </c>
      <c r="AE115" s="27">
        <f>SUM(AE116:AE130)</f>
        <v>0</v>
      </c>
      <c r="AF115" s="27">
        <f>SUM(AF116:AF130)</f>
        <v>371</v>
      </c>
      <c r="AH115" s="36">
        <f t="shared" si="32"/>
        <v>-106347.79700000002</v>
      </c>
    </row>
    <row r="116" spans="1:34" s="35" customFormat="1" ht="29.25" customHeight="1" x14ac:dyDescent="0.3">
      <c r="A116" s="118">
        <v>1</v>
      </c>
      <c r="B116" s="104" t="s">
        <v>227</v>
      </c>
      <c r="C116" s="104" t="s">
        <v>187</v>
      </c>
      <c r="D116" s="105"/>
      <c r="E116" s="106">
        <f>F116</f>
        <v>3900</v>
      </c>
      <c r="F116" s="106">
        <v>3900</v>
      </c>
      <c r="G116" s="106">
        <v>3900</v>
      </c>
      <c r="H116" s="99">
        <f t="shared" ref="H116:H125" si="38">G116</f>
        <v>3900</v>
      </c>
      <c r="I116" s="99"/>
      <c r="J116" s="99">
        <v>2000</v>
      </c>
      <c r="K116" s="106">
        <v>1000</v>
      </c>
      <c r="L116" s="106">
        <v>900</v>
      </c>
      <c r="M116" s="34">
        <f t="shared" si="19"/>
        <v>0</v>
      </c>
      <c r="N116" s="99"/>
      <c r="O116" s="99"/>
      <c r="P116" s="99">
        <v>0</v>
      </c>
      <c r="Q116" s="99"/>
      <c r="R116" s="99"/>
      <c r="S116" s="34">
        <f t="shared" si="20"/>
        <v>3900</v>
      </c>
      <c r="T116" s="99"/>
      <c r="U116" s="99">
        <v>2000</v>
      </c>
      <c r="V116" s="99"/>
      <c r="W116" s="99">
        <v>1000</v>
      </c>
      <c r="X116" s="99">
        <v>900</v>
      </c>
      <c r="Y116" s="34">
        <f t="shared" si="21"/>
        <v>0</v>
      </c>
      <c r="Z116" s="99">
        <f t="shared" si="22"/>
        <v>0</v>
      </c>
      <c r="AA116" s="99">
        <f t="shared" si="22"/>
        <v>0</v>
      </c>
      <c r="AB116" s="99">
        <f t="shared" si="23"/>
        <v>0</v>
      </c>
      <c r="AC116" s="99">
        <f t="shared" si="24"/>
        <v>0</v>
      </c>
      <c r="AD116" s="99">
        <f t="shared" si="24"/>
        <v>0</v>
      </c>
      <c r="AE116" s="107"/>
      <c r="AF116" s="82" t="s">
        <v>67</v>
      </c>
      <c r="AH116" s="85">
        <f t="shared" si="32"/>
        <v>0</v>
      </c>
    </row>
    <row r="117" spans="1:34" s="35" customFormat="1" ht="45" customHeight="1" x14ac:dyDescent="0.3">
      <c r="A117" s="95" t="s">
        <v>68</v>
      </c>
      <c r="B117" s="104" t="s">
        <v>210</v>
      </c>
      <c r="C117" s="104" t="s">
        <v>211</v>
      </c>
      <c r="D117" s="105"/>
      <c r="E117" s="106">
        <f>F117</f>
        <v>832</v>
      </c>
      <c r="F117" s="106">
        <v>832</v>
      </c>
      <c r="G117" s="106"/>
      <c r="H117" s="99">
        <v>200</v>
      </c>
      <c r="I117" s="99"/>
      <c r="J117" s="99"/>
      <c r="K117" s="106">
        <v>200</v>
      </c>
      <c r="L117" s="106">
        <v>0</v>
      </c>
      <c r="M117" s="34">
        <f>SUM(N117:R117)</f>
        <v>632</v>
      </c>
      <c r="N117" s="99"/>
      <c r="O117" s="99"/>
      <c r="P117" s="99"/>
      <c r="Q117" s="99">
        <f>832-K117</f>
        <v>632</v>
      </c>
      <c r="R117" s="99"/>
      <c r="S117" s="34">
        <f>SUM(T117:X117)</f>
        <v>0</v>
      </c>
      <c r="T117" s="99"/>
      <c r="U117" s="99"/>
      <c r="V117" s="99"/>
      <c r="W117" s="99"/>
      <c r="X117" s="99"/>
      <c r="Y117" s="34">
        <f>SUM(Z117:AD117)</f>
        <v>832</v>
      </c>
      <c r="Z117" s="99">
        <f>I117+N117-T117</f>
        <v>0</v>
      </c>
      <c r="AA117" s="99">
        <f>J117+O117-U117</f>
        <v>0</v>
      </c>
      <c r="AB117" s="99">
        <f>P117-V117</f>
        <v>0</v>
      </c>
      <c r="AC117" s="99">
        <f>K117+Q117-W117</f>
        <v>832</v>
      </c>
      <c r="AD117" s="99">
        <f>L117+R117-X117</f>
        <v>0</v>
      </c>
      <c r="AE117" s="107"/>
      <c r="AF117" s="82" t="s">
        <v>37</v>
      </c>
      <c r="AH117" s="85">
        <f>G117-H117</f>
        <v>-200</v>
      </c>
    </row>
    <row r="118" spans="1:34" s="35" customFormat="1" ht="30.75" customHeight="1" x14ac:dyDescent="0.3">
      <c r="A118" s="119">
        <v>2</v>
      </c>
      <c r="B118" s="96" t="s">
        <v>228</v>
      </c>
      <c r="C118" s="104" t="s">
        <v>197</v>
      </c>
      <c r="D118" s="104"/>
      <c r="E118" s="106">
        <v>18700</v>
      </c>
      <c r="F118" s="106">
        <v>18700</v>
      </c>
      <c r="G118" s="106">
        <v>7000</v>
      </c>
      <c r="H118" s="99">
        <f t="shared" si="38"/>
        <v>7000</v>
      </c>
      <c r="I118" s="99"/>
      <c r="J118" s="99"/>
      <c r="K118" s="106">
        <f>H118</f>
        <v>7000</v>
      </c>
      <c r="L118" s="106">
        <v>0</v>
      </c>
      <c r="M118" s="34">
        <f t="shared" si="19"/>
        <v>5000</v>
      </c>
      <c r="N118" s="99"/>
      <c r="O118" s="99"/>
      <c r="P118" s="99">
        <v>5000</v>
      </c>
      <c r="Q118" s="99"/>
      <c r="R118" s="99"/>
      <c r="S118" s="34">
        <f t="shared" si="20"/>
        <v>7000</v>
      </c>
      <c r="T118" s="99"/>
      <c r="U118" s="99"/>
      <c r="V118" s="99"/>
      <c r="W118" s="99">
        <v>7000</v>
      </c>
      <c r="X118" s="99"/>
      <c r="Y118" s="34">
        <f t="shared" si="21"/>
        <v>5000</v>
      </c>
      <c r="Z118" s="99">
        <f t="shared" si="22"/>
        <v>0</v>
      </c>
      <c r="AA118" s="99">
        <f t="shared" si="22"/>
        <v>0</v>
      </c>
      <c r="AB118" s="99">
        <f t="shared" si="23"/>
        <v>5000</v>
      </c>
      <c r="AC118" s="99">
        <f t="shared" si="24"/>
        <v>0</v>
      </c>
      <c r="AD118" s="99">
        <f t="shared" si="24"/>
        <v>0</v>
      </c>
      <c r="AE118" s="107"/>
      <c r="AF118" s="82" t="s">
        <v>31</v>
      </c>
      <c r="AH118" s="85">
        <f t="shared" si="32"/>
        <v>0</v>
      </c>
    </row>
    <row r="119" spans="1:34" s="35" customFormat="1" ht="127.5" customHeight="1" x14ac:dyDescent="0.3">
      <c r="A119" s="118">
        <v>3</v>
      </c>
      <c r="B119" s="96" t="s">
        <v>229</v>
      </c>
      <c r="C119" s="104" t="s">
        <v>197</v>
      </c>
      <c r="D119" s="104"/>
      <c r="E119" s="106">
        <v>13000</v>
      </c>
      <c r="F119" s="106">
        <v>13000</v>
      </c>
      <c r="G119" s="106">
        <v>1000</v>
      </c>
      <c r="H119" s="99">
        <f t="shared" si="38"/>
        <v>1000</v>
      </c>
      <c r="I119" s="99"/>
      <c r="J119" s="99"/>
      <c r="K119" s="106">
        <f>G119</f>
        <v>1000</v>
      </c>
      <c r="L119" s="106">
        <v>0</v>
      </c>
      <c r="M119" s="34">
        <f t="shared" si="19"/>
        <v>0</v>
      </c>
      <c r="N119" s="99"/>
      <c r="O119" s="99"/>
      <c r="P119" s="99"/>
      <c r="Q119" s="99"/>
      <c r="R119" s="99"/>
      <c r="S119" s="34">
        <f t="shared" si="20"/>
        <v>0</v>
      </c>
      <c r="T119" s="99"/>
      <c r="U119" s="99"/>
      <c r="V119" s="99"/>
      <c r="W119" s="99"/>
      <c r="X119" s="99"/>
      <c r="Y119" s="34">
        <f t="shared" si="21"/>
        <v>1000</v>
      </c>
      <c r="Z119" s="99">
        <f t="shared" si="22"/>
        <v>0</v>
      </c>
      <c r="AA119" s="99">
        <f t="shared" si="22"/>
        <v>0</v>
      </c>
      <c r="AB119" s="99">
        <f t="shared" si="23"/>
        <v>0</v>
      </c>
      <c r="AC119" s="99">
        <f t="shared" si="24"/>
        <v>1000</v>
      </c>
      <c r="AD119" s="99">
        <f t="shared" si="24"/>
        <v>0</v>
      </c>
      <c r="AE119" s="107"/>
      <c r="AF119" s="82" t="s">
        <v>40</v>
      </c>
      <c r="AH119" s="85">
        <f t="shared" si="32"/>
        <v>0</v>
      </c>
    </row>
    <row r="120" spans="1:34" s="35" customFormat="1" ht="43.5" customHeight="1" x14ac:dyDescent="0.3">
      <c r="A120" s="119">
        <v>4</v>
      </c>
      <c r="B120" s="96" t="s">
        <v>230</v>
      </c>
      <c r="C120" s="104" t="s">
        <v>197</v>
      </c>
      <c r="D120" s="104"/>
      <c r="E120" s="106">
        <v>2500</v>
      </c>
      <c r="F120" s="106">
        <f>E120</f>
        <v>2500</v>
      </c>
      <c r="G120" s="106">
        <f>1942-1248.5+150</f>
        <v>843.5</v>
      </c>
      <c r="H120" s="99">
        <f t="shared" si="38"/>
        <v>843.5</v>
      </c>
      <c r="I120" s="99"/>
      <c r="J120" s="99"/>
      <c r="K120" s="106">
        <f>G120</f>
        <v>843.5</v>
      </c>
      <c r="L120" s="106">
        <v>0</v>
      </c>
      <c r="M120" s="34">
        <f t="shared" si="19"/>
        <v>500</v>
      </c>
      <c r="N120" s="99"/>
      <c r="O120" s="99"/>
      <c r="P120" s="99">
        <v>500</v>
      </c>
      <c r="Q120" s="99"/>
      <c r="R120" s="99"/>
      <c r="S120" s="34">
        <f t="shared" si="20"/>
        <v>626</v>
      </c>
      <c r="T120" s="99"/>
      <c r="U120" s="99"/>
      <c r="V120" s="99"/>
      <c r="W120" s="99">
        <v>626</v>
      </c>
      <c r="X120" s="99"/>
      <c r="Y120" s="34">
        <f t="shared" si="21"/>
        <v>717.5</v>
      </c>
      <c r="Z120" s="99">
        <f t="shared" si="22"/>
        <v>0</v>
      </c>
      <c r="AA120" s="99">
        <f t="shared" si="22"/>
        <v>0</v>
      </c>
      <c r="AB120" s="99">
        <f t="shared" si="23"/>
        <v>500</v>
      </c>
      <c r="AC120" s="99">
        <f t="shared" si="24"/>
        <v>217.5</v>
      </c>
      <c r="AD120" s="99">
        <f t="shared" si="24"/>
        <v>0</v>
      </c>
      <c r="AE120" s="107"/>
      <c r="AF120" s="82">
        <v>371</v>
      </c>
      <c r="AH120" s="85">
        <f t="shared" si="32"/>
        <v>0</v>
      </c>
    </row>
    <row r="121" spans="1:34" s="35" customFormat="1" ht="54" customHeight="1" x14ac:dyDescent="0.3">
      <c r="A121" s="118">
        <v>5</v>
      </c>
      <c r="B121" s="109" t="s">
        <v>231</v>
      </c>
      <c r="C121" s="104" t="s">
        <v>211</v>
      </c>
      <c r="D121" s="105"/>
      <c r="E121" s="106">
        <f t="shared" ref="E121:E125" si="39">F121</f>
        <v>3750</v>
      </c>
      <c r="F121" s="106">
        <v>3750</v>
      </c>
      <c r="G121" s="106">
        <v>1750</v>
      </c>
      <c r="H121" s="99">
        <f t="shared" si="38"/>
        <v>1750</v>
      </c>
      <c r="I121" s="99"/>
      <c r="J121" s="99"/>
      <c r="K121" s="106">
        <f>H121</f>
        <v>1750</v>
      </c>
      <c r="L121" s="106">
        <v>0</v>
      </c>
      <c r="M121" s="34">
        <f t="shared" si="19"/>
        <v>150</v>
      </c>
      <c r="N121" s="99"/>
      <c r="O121" s="99"/>
      <c r="P121" s="99">
        <v>150</v>
      </c>
      <c r="Q121" s="99"/>
      <c r="R121" s="99"/>
      <c r="S121" s="34">
        <f t="shared" si="20"/>
        <v>1681.2719999999999</v>
      </c>
      <c r="T121" s="99"/>
      <c r="U121" s="99"/>
      <c r="V121" s="99"/>
      <c r="W121" s="92">
        <f>1750-68.728</f>
        <v>1681.2719999999999</v>
      </c>
      <c r="X121" s="99"/>
      <c r="Y121" s="34">
        <f t="shared" si="21"/>
        <v>218.72800000000007</v>
      </c>
      <c r="Z121" s="99">
        <f t="shared" si="22"/>
        <v>0</v>
      </c>
      <c r="AA121" s="99">
        <f t="shared" si="22"/>
        <v>0</v>
      </c>
      <c r="AB121" s="99">
        <f t="shared" si="23"/>
        <v>150</v>
      </c>
      <c r="AC121" s="99">
        <f t="shared" si="24"/>
        <v>68.728000000000065</v>
      </c>
      <c r="AD121" s="99">
        <f t="shared" si="24"/>
        <v>0</v>
      </c>
      <c r="AE121" s="110"/>
      <c r="AF121" s="105" t="s">
        <v>232</v>
      </c>
      <c r="AH121" s="85">
        <f t="shared" si="32"/>
        <v>0</v>
      </c>
    </row>
    <row r="122" spans="1:34" s="35" customFormat="1" ht="71.25" customHeight="1" x14ac:dyDescent="0.3">
      <c r="A122" s="119">
        <v>6</v>
      </c>
      <c r="B122" s="97" t="s">
        <v>233</v>
      </c>
      <c r="C122" s="104" t="s">
        <v>211</v>
      </c>
      <c r="D122" s="105"/>
      <c r="E122" s="106">
        <f t="shared" si="39"/>
        <v>1900</v>
      </c>
      <c r="F122" s="106">
        <v>1900</v>
      </c>
      <c r="G122" s="106">
        <v>1400</v>
      </c>
      <c r="H122" s="99">
        <f t="shared" si="38"/>
        <v>1400</v>
      </c>
      <c r="I122" s="99"/>
      <c r="J122" s="99"/>
      <c r="K122" s="106">
        <f>H122</f>
        <v>1400</v>
      </c>
      <c r="L122" s="106">
        <v>0</v>
      </c>
      <c r="M122" s="34">
        <f t="shared" si="19"/>
        <v>0</v>
      </c>
      <c r="N122" s="99"/>
      <c r="O122" s="99"/>
      <c r="P122" s="99"/>
      <c r="Q122" s="99"/>
      <c r="R122" s="99"/>
      <c r="S122" s="34">
        <f t="shared" si="20"/>
        <v>0</v>
      </c>
      <c r="T122" s="99"/>
      <c r="U122" s="99"/>
      <c r="V122" s="99"/>
      <c r="W122" s="99"/>
      <c r="X122" s="99"/>
      <c r="Y122" s="34">
        <f t="shared" si="21"/>
        <v>1400</v>
      </c>
      <c r="Z122" s="99">
        <f t="shared" si="22"/>
        <v>0</v>
      </c>
      <c r="AA122" s="99">
        <f t="shared" si="22"/>
        <v>0</v>
      </c>
      <c r="AB122" s="99">
        <f t="shared" si="23"/>
        <v>0</v>
      </c>
      <c r="AC122" s="99">
        <f t="shared" si="24"/>
        <v>1400</v>
      </c>
      <c r="AD122" s="99">
        <f t="shared" si="24"/>
        <v>0</v>
      </c>
      <c r="AE122" s="110"/>
      <c r="AF122" s="105" t="s">
        <v>31</v>
      </c>
      <c r="AH122" s="85">
        <f t="shared" si="32"/>
        <v>0</v>
      </c>
    </row>
    <row r="123" spans="1:34" s="35" customFormat="1" ht="54.75" customHeight="1" x14ac:dyDescent="0.3">
      <c r="A123" s="118">
        <v>7</v>
      </c>
      <c r="B123" s="97" t="s">
        <v>234</v>
      </c>
      <c r="C123" s="104" t="s">
        <v>211</v>
      </c>
      <c r="D123" s="105"/>
      <c r="E123" s="106">
        <f t="shared" si="39"/>
        <v>3050</v>
      </c>
      <c r="F123" s="106">
        <v>3050</v>
      </c>
      <c r="G123" s="106">
        <v>2500</v>
      </c>
      <c r="H123" s="99">
        <f t="shared" si="38"/>
        <v>2500</v>
      </c>
      <c r="I123" s="99"/>
      <c r="J123" s="99"/>
      <c r="K123" s="106">
        <f>H123</f>
        <v>2500</v>
      </c>
      <c r="L123" s="106">
        <v>0</v>
      </c>
      <c r="M123" s="34">
        <f t="shared" si="19"/>
        <v>0</v>
      </c>
      <c r="N123" s="99"/>
      <c r="O123" s="99"/>
      <c r="P123" s="99"/>
      <c r="Q123" s="99"/>
      <c r="R123" s="99"/>
      <c r="S123" s="34">
        <f t="shared" si="20"/>
        <v>0</v>
      </c>
      <c r="T123" s="99"/>
      <c r="U123" s="99"/>
      <c r="V123" s="99"/>
      <c r="W123" s="99"/>
      <c r="X123" s="99"/>
      <c r="Y123" s="34">
        <f t="shared" si="21"/>
        <v>2500</v>
      </c>
      <c r="Z123" s="99">
        <f t="shared" si="22"/>
        <v>0</v>
      </c>
      <c r="AA123" s="99">
        <f t="shared" si="22"/>
        <v>0</v>
      </c>
      <c r="AB123" s="99">
        <f t="shared" si="23"/>
        <v>0</v>
      </c>
      <c r="AC123" s="99">
        <f t="shared" si="24"/>
        <v>2500</v>
      </c>
      <c r="AD123" s="99">
        <f t="shared" si="24"/>
        <v>0</v>
      </c>
      <c r="AE123" s="110"/>
      <c r="AF123" s="105" t="s">
        <v>34</v>
      </c>
      <c r="AH123" s="85">
        <f t="shared" si="32"/>
        <v>0</v>
      </c>
    </row>
    <row r="124" spans="1:34" s="35" customFormat="1" ht="63" customHeight="1" x14ac:dyDescent="0.3">
      <c r="A124" s="119">
        <v>8</v>
      </c>
      <c r="B124" s="109" t="s">
        <v>235</v>
      </c>
      <c r="C124" s="104"/>
      <c r="D124" s="105"/>
      <c r="E124" s="106">
        <f t="shared" si="39"/>
        <v>3547</v>
      </c>
      <c r="F124" s="111">
        <v>3547</v>
      </c>
      <c r="G124" s="110">
        <v>3050.203</v>
      </c>
      <c r="H124" s="99">
        <f>G124</f>
        <v>3050.203</v>
      </c>
      <c r="I124" s="99"/>
      <c r="J124" s="99"/>
      <c r="K124" s="106">
        <f>H124</f>
        <v>3050.203</v>
      </c>
      <c r="L124" s="110">
        <v>0</v>
      </c>
      <c r="M124" s="34">
        <f t="shared" si="19"/>
        <v>2350</v>
      </c>
      <c r="N124" s="99"/>
      <c r="O124" s="99"/>
      <c r="P124" s="99">
        <v>2350</v>
      </c>
      <c r="Q124" s="99"/>
      <c r="R124" s="99"/>
      <c r="S124" s="34">
        <f t="shared" si="20"/>
        <v>2935.5340000000001</v>
      </c>
      <c r="T124" s="99"/>
      <c r="U124" s="99"/>
      <c r="V124" s="99"/>
      <c r="W124" s="92">
        <f>K124-114.669</f>
        <v>2935.5340000000001</v>
      </c>
      <c r="X124" s="99"/>
      <c r="Y124" s="34">
        <f t="shared" si="21"/>
        <v>2464.6689999999999</v>
      </c>
      <c r="Z124" s="99">
        <f t="shared" si="22"/>
        <v>0</v>
      </c>
      <c r="AA124" s="99">
        <f t="shared" si="22"/>
        <v>0</v>
      </c>
      <c r="AB124" s="99">
        <f t="shared" si="23"/>
        <v>2350</v>
      </c>
      <c r="AC124" s="99">
        <f t="shared" si="24"/>
        <v>114.66899999999987</v>
      </c>
      <c r="AD124" s="99">
        <f t="shared" si="24"/>
        <v>0</v>
      </c>
      <c r="AE124" s="110"/>
      <c r="AF124" s="105"/>
      <c r="AH124" s="85">
        <f t="shared" si="32"/>
        <v>0</v>
      </c>
    </row>
    <row r="125" spans="1:34" s="35" customFormat="1" ht="63" customHeight="1" x14ac:dyDescent="0.3">
      <c r="A125" s="118">
        <v>9</v>
      </c>
      <c r="B125" s="109" t="s">
        <v>236</v>
      </c>
      <c r="C125" s="104"/>
      <c r="D125" s="105"/>
      <c r="E125" s="106">
        <f t="shared" si="39"/>
        <v>2731</v>
      </c>
      <c r="F125" s="111">
        <v>2731</v>
      </c>
      <c r="G125" s="110">
        <v>2110</v>
      </c>
      <c r="H125" s="99">
        <f t="shared" si="38"/>
        <v>2110</v>
      </c>
      <c r="I125" s="99"/>
      <c r="J125" s="99"/>
      <c r="K125" s="106">
        <f>H125</f>
        <v>2110</v>
      </c>
      <c r="L125" s="110">
        <v>0</v>
      </c>
      <c r="M125" s="34">
        <f t="shared" si="19"/>
        <v>2000</v>
      </c>
      <c r="N125" s="99"/>
      <c r="O125" s="99"/>
      <c r="P125" s="99">
        <v>2000</v>
      </c>
      <c r="Q125" s="99"/>
      <c r="R125" s="99"/>
      <c r="S125" s="34">
        <f t="shared" si="20"/>
        <v>1976.2660000000001</v>
      </c>
      <c r="T125" s="99"/>
      <c r="U125" s="99"/>
      <c r="V125" s="99"/>
      <c r="W125" s="99">
        <f>K125-133.734</f>
        <v>1976.2660000000001</v>
      </c>
      <c r="X125" s="99"/>
      <c r="Y125" s="34">
        <f t="shared" si="21"/>
        <v>2133.7339999999999</v>
      </c>
      <c r="Z125" s="99">
        <f t="shared" si="22"/>
        <v>0</v>
      </c>
      <c r="AA125" s="99">
        <f t="shared" si="22"/>
        <v>0</v>
      </c>
      <c r="AB125" s="99">
        <f t="shared" si="23"/>
        <v>2000</v>
      </c>
      <c r="AC125" s="99">
        <f t="shared" si="24"/>
        <v>133.73399999999992</v>
      </c>
      <c r="AD125" s="99">
        <f t="shared" si="24"/>
        <v>0</v>
      </c>
      <c r="AE125" s="110"/>
      <c r="AF125" s="105"/>
      <c r="AH125" s="85">
        <f t="shared" si="32"/>
        <v>0</v>
      </c>
    </row>
    <row r="126" spans="1:34" s="115" customFormat="1" ht="99.75" customHeight="1" x14ac:dyDescent="0.3">
      <c r="A126" s="119">
        <v>10</v>
      </c>
      <c r="B126" s="112" t="s">
        <v>237</v>
      </c>
      <c r="C126" s="104"/>
      <c r="D126" s="105"/>
      <c r="E126" s="113">
        <v>44500</v>
      </c>
      <c r="F126" s="111">
        <f t="shared" ref="F126:F130" si="40">E126</f>
        <v>44500</v>
      </c>
      <c r="G126" s="114"/>
      <c r="H126" s="113">
        <f>K126</f>
        <v>43361</v>
      </c>
      <c r="I126" s="113"/>
      <c r="J126" s="113"/>
      <c r="K126" s="113">
        <v>43361</v>
      </c>
      <c r="L126" s="110"/>
      <c r="M126" s="34">
        <f t="shared" si="19"/>
        <v>4500</v>
      </c>
      <c r="N126" s="99"/>
      <c r="O126" s="99"/>
      <c r="P126" s="99">
        <v>4500</v>
      </c>
      <c r="Q126" s="99"/>
      <c r="R126" s="99"/>
      <c r="S126" s="34">
        <f t="shared" si="20"/>
        <v>4557</v>
      </c>
      <c r="T126" s="99"/>
      <c r="U126" s="99"/>
      <c r="V126" s="99"/>
      <c r="W126" s="92">
        <f>4500+43361-43304</f>
        <v>4557</v>
      </c>
      <c r="X126" s="99"/>
      <c r="Y126" s="34">
        <f t="shared" si="21"/>
        <v>43304</v>
      </c>
      <c r="Z126" s="99">
        <f t="shared" si="22"/>
        <v>0</v>
      </c>
      <c r="AA126" s="99">
        <f t="shared" si="22"/>
        <v>0</v>
      </c>
      <c r="AB126" s="99">
        <f t="shared" si="23"/>
        <v>4500</v>
      </c>
      <c r="AC126" s="99">
        <f t="shared" si="24"/>
        <v>38804</v>
      </c>
      <c r="AD126" s="99">
        <f t="shared" si="24"/>
        <v>0</v>
      </c>
      <c r="AE126" s="110"/>
      <c r="AF126" s="105"/>
      <c r="AH126" s="85">
        <f t="shared" si="32"/>
        <v>-43361</v>
      </c>
    </row>
    <row r="127" spans="1:34" s="115" customFormat="1" ht="73.5" customHeight="1" x14ac:dyDescent="0.3">
      <c r="A127" s="118">
        <v>11</v>
      </c>
      <c r="B127" s="112" t="s">
        <v>238</v>
      </c>
      <c r="C127" s="104"/>
      <c r="D127" s="105"/>
      <c r="E127" s="113">
        <v>34629</v>
      </c>
      <c r="F127" s="111">
        <f t="shared" si="40"/>
        <v>34629</v>
      </c>
      <c r="G127" s="114"/>
      <c r="H127" s="113">
        <f>F127</f>
        <v>34629</v>
      </c>
      <c r="I127" s="113"/>
      <c r="J127" s="113"/>
      <c r="K127" s="111">
        <f>F127</f>
        <v>34629</v>
      </c>
      <c r="L127" s="110"/>
      <c r="M127" s="34">
        <f t="shared" si="19"/>
        <v>0</v>
      </c>
      <c r="N127" s="99"/>
      <c r="O127" s="99"/>
      <c r="P127" s="99"/>
      <c r="Q127" s="99"/>
      <c r="R127" s="99"/>
      <c r="S127" s="34">
        <f t="shared" si="20"/>
        <v>0</v>
      </c>
      <c r="T127" s="99"/>
      <c r="U127" s="99"/>
      <c r="V127" s="99"/>
      <c r="W127" s="99"/>
      <c r="X127" s="99"/>
      <c r="Y127" s="34">
        <f t="shared" si="21"/>
        <v>34629</v>
      </c>
      <c r="Z127" s="99">
        <f t="shared" si="22"/>
        <v>0</v>
      </c>
      <c r="AA127" s="99">
        <f t="shared" si="22"/>
        <v>0</v>
      </c>
      <c r="AB127" s="99">
        <f t="shared" si="23"/>
        <v>0</v>
      </c>
      <c r="AC127" s="99">
        <f t="shared" si="24"/>
        <v>34629</v>
      </c>
      <c r="AD127" s="99">
        <f t="shared" si="24"/>
        <v>0</v>
      </c>
      <c r="AE127" s="110"/>
      <c r="AF127" s="105"/>
      <c r="AH127" s="85">
        <f t="shared" si="32"/>
        <v>-34629</v>
      </c>
    </row>
    <row r="128" spans="1:34" s="115" customFormat="1" ht="99" customHeight="1" x14ac:dyDescent="0.3">
      <c r="A128" s="119">
        <v>12</v>
      </c>
      <c r="B128" s="112" t="s">
        <v>239</v>
      </c>
      <c r="C128" s="104"/>
      <c r="D128" s="105"/>
      <c r="E128" s="113">
        <v>15811</v>
      </c>
      <c r="F128" s="111">
        <f t="shared" si="40"/>
        <v>15811</v>
      </c>
      <c r="G128" s="114"/>
      <c r="H128" s="113">
        <f>F128</f>
        <v>15811</v>
      </c>
      <c r="I128" s="113"/>
      <c r="J128" s="113"/>
      <c r="K128" s="111">
        <f>F128</f>
        <v>15811</v>
      </c>
      <c r="L128" s="110"/>
      <c r="M128" s="34">
        <f t="shared" si="19"/>
        <v>0</v>
      </c>
      <c r="N128" s="99"/>
      <c r="O128" s="99"/>
      <c r="P128" s="99"/>
      <c r="Q128" s="99"/>
      <c r="R128" s="99"/>
      <c r="S128" s="34">
        <f t="shared" si="20"/>
        <v>0</v>
      </c>
      <c r="T128" s="99"/>
      <c r="U128" s="99"/>
      <c r="V128" s="99"/>
      <c r="W128" s="99"/>
      <c r="X128" s="99"/>
      <c r="Y128" s="34">
        <f t="shared" si="21"/>
        <v>15811</v>
      </c>
      <c r="Z128" s="99">
        <f t="shared" si="22"/>
        <v>0</v>
      </c>
      <c r="AA128" s="99">
        <f t="shared" si="22"/>
        <v>0</v>
      </c>
      <c r="AB128" s="99">
        <f t="shared" si="23"/>
        <v>0</v>
      </c>
      <c r="AC128" s="99">
        <f t="shared" si="24"/>
        <v>15811</v>
      </c>
      <c r="AD128" s="99">
        <f t="shared" si="24"/>
        <v>0</v>
      </c>
      <c r="AE128" s="110"/>
      <c r="AF128" s="105"/>
      <c r="AH128" s="85">
        <f t="shared" si="32"/>
        <v>-15811</v>
      </c>
    </row>
    <row r="129" spans="1:34" s="115" customFormat="1" ht="57.75" customHeight="1" x14ac:dyDescent="0.3">
      <c r="A129" s="118">
        <v>13</v>
      </c>
      <c r="B129" s="112" t="s">
        <v>241</v>
      </c>
      <c r="C129" s="104"/>
      <c r="D129" s="105"/>
      <c r="E129" s="113">
        <v>1100</v>
      </c>
      <c r="F129" s="111">
        <v>1100</v>
      </c>
      <c r="G129" s="114"/>
      <c r="H129" s="113">
        <f>E129</f>
        <v>1100</v>
      </c>
      <c r="I129" s="113"/>
      <c r="J129" s="113"/>
      <c r="K129" s="111">
        <f>H129</f>
        <v>1100</v>
      </c>
      <c r="L129" s="110"/>
      <c r="M129" s="34">
        <f t="shared" si="19"/>
        <v>0</v>
      </c>
      <c r="N129" s="99"/>
      <c r="O129" s="99"/>
      <c r="P129" s="99"/>
      <c r="Q129" s="99"/>
      <c r="R129" s="99"/>
      <c r="S129" s="34">
        <f t="shared" si="20"/>
        <v>1100</v>
      </c>
      <c r="T129" s="99"/>
      <c r="U129" s="99"/>
      <c r="V129" s="99"/>
      <c r="W129" s="99">
        <v>1100</v>
      </c>
      <c r="X129" s="99"/>
      <c r="Y129" s="34">
        <f t="shared" si="21"/>
        <v>0</v>
      </c>
      <c r="Z129" s="99">
        <f t="shared" si="22"/>
        <v>0</v>
      </c>
      <c r="AA129" s="99">
        <f t="shared" si="22"/>
        <v>0</v>
      </c>
      <c r="AB129" s="99">
        <f t="shared" si="23"/>
        <v>0</v>
      </c>
      <c r="AC129" s="99">
        <f t="shared" si="24"/>
        <v>0</v>
      </c>
      <c r="AD129" s="99">
        <f t="shared" si="24"/>
        <v>0</v>
      </c>
      <c r="AE129" s="110"/>
      <c r="AF129" s="105"/>
      <c r="AH129" s="85"/>
    </row>
    <row r="130" spans="1:34" s="115" customFormat="1" ht="64.5" customHeight="1" x14ac:dyDescent="0.3">
      <c r="A130" s="119">
        <v>14</v>
      </c>
      <c r="B130" s="79" t="s">
        <v>240</v>
      </c>
      <c r="C130" s="104"/>
      <c r="D130" s="105"/>
      <c r="E130" s="116">
        <v>5750</v>
      </c>
      <c r="F130" s="111">
        <f t="shared" si="40"/>
        <v>5750</v>
      </c>
      <c r="G130" s="114"/>
      <c r="H130" s="113">
        <f>E130</f>
        <v>5750</v>
      </c>
      <c r="I130" s="113"/>
      <c r="J130" s="113"/>
      <c r="K130" s="111">
        <v>5750</v>
      </c>
      <c r="L130" s="110"/>
      <c r="M130" s="34">
        <f t="shared" si="19"/>
        <v>0</v>
      </c>
      <c r="N130" s="99"/>
      <c r="O130" s="99"/>
      <c r="P130" s="99"/>
      <c r="Q130" s="99"/>
      <c r="R130" s="99"/>
      <c r="S130" s="34">
        <f t="shared" si="20"/>
        <v>5750</v>
      </c>
      <c r="T130" s="99"/>
      <c r="U130" s="99"/>
      <c r="V130" s="99"/>
      <c r="W130" s="99">
        <v>5750</v>
      </c>
      <c r="X130" s="99"/>
      <c r="Y130" s="34">
        <f t="shared" si="21"/>
        <v>0</v>
      </c>
      <c r="Z130" s="99">
        <f t="shared" si="22"/>
        <v>0</v>
      </c>
      <c r="AA130" s="99">
        <f t="shared" si="22"/>
        <v>0</v>
      </c>
      <c r="AB130" s="99">
        <f t="shared" si="23"/>
        <v>0</v>
      </c>
      <c r="AC130" s="99">
        <f t="shared" si="24"/>
        <v>0</v>
      </c>
      <c r="AD130" s="99">
        <f t="shared" si="24"/>
        <v>0</v>
      </c>
      <c r="AE130" s="110"/>
      <c r="AF130" s="105"/>
    </row>
    <row r="131" spans="1:34" s="115" customFormat="1" ht="54" x14ac:dyDescent="0.35">
      <c r="A131" s="95" t="s">
        <v>64</v>
      </c>
      <c r="B131" s="117" t="s">
        <v>243</v>
      </c>
      <c r="C131" s="104"/>
      <c r="D131" s="105"/>
      <c r="E131" s="114">
        <f>F131</f>
        <v>5000</v>
      </c>
      <c r="F131" s="111">
        <v>5000</v>
      </c>
      <c r="G131" s="114">
        <v>0</v>
      </c>
      <c r="H131" s="113">
        <f>K131</f>
        <v>5000</v>
      </c>
      <c r="I131" s="113"/>
      <c r="J131" s="113"/>
      <c r="K131" s="110">
        <v>5000</v>
      </c>
      <c r="L131" s="110"/>
      <c r="M131" s="34">
        <f t="shared" si="19"/>
        <v>0</v>
      </c>
      <c r="N131" s="99"/>
      <c r="O131" s="99"/>
      <c r="P131" s="99"/>
      <c r="Q131" s="99"/>
      <c r="R131" s="99"/>
      <c r="S131" s="34">
        <f t="shared" si="20"/>
        <v>5000</v>
      </c>
      <c r="T131" s="99"/>
      <c r="U131" s="99"/>
      <c r="V131" s="99"/>
      <c r="W131" s="99">
        <v>5000</v>
      </c>
      <c r="X131" s="99"/>
      <c r="Y131" s="34">
        <f t="shared" si="21"/>
        <v>0</v>
      </c>
      <c r="Z131" s="99">
        <f t="shared" si="22"/>
        <v>0</v>
      </c>
      <c r="AA131" s="99">
        <f t="shared" si="22"/>
        <v>0</v>
      </c>
      <c r="AB131" s="99">
        <f t="shared" si="23"/>
        <v>0</v>
      </c>
      <c r="AC131" s="99">
        <f t="shared" si="24"/>
        <v>0</v>
      </c>
      <c r="AD131" s="99">
        <f t="shared" si="24"/>
        <v>0</v>
      </c>
      <c r="AE131" s="110"/>
      <c r="AF131" s="105"/>
    </row>
    <row r="132" spans="1:34" s="115" customFormat="1" ht="44.25" customHeight="1" x14ac:dyDescent="0.3">
      <c r="A132" s="95" t="s">
        <v>68</v>
      </c>
      <c r="B132" s="79" t="s">
        <v>244</v>
      </c>
      <c r="C132" s="104"/>
      <c r="D132" s="105"/>
      <c r="E132" s="114">
        <f>F132</f>
        <v>496.79700000000003</v>
      </c>
      <c r="F132" s="114">
        <v>496.79700000000003</v>
      </c>
      <c r="G132" s="114"/>
      <c r="H132" s="113">
        <f>K132</f>
        <v>496.79700000000003</v>
      </c>
      <c r="I132" s="113"/>
      <c r="J132" s="113"/>
      <c r="K132" s="110">
        <f>F132</f>
        <v>496.79700000000003</v>
      </c>
      <c r="L132" s="110"/>
      <c r="M132" s="34">
        <f t="shared" si="19"/>
        <v>450</v>
      </c>
      <c r="N132" s="99"/>
      <c r="O132" s="99"/>
      <c r="P132" s="99">
        <v>450</v>
      </c>
      <c r="Q132" s="99"/>
      <c r="R132" s="99"/>
      <c r="S132" s="34">
        <f t="shared" si="20"/>
        <v>450</v>
      </c>
      <c r="T132" s="99"/>
      <c r="U132" s="99"/>
      <c r="V132" s="99"/>
      <c r="W132" s="99">
        <v>450</v>
      </c>
      <c r="X132" s="99"/>
      <c r="Y132" s="34">
        <f t="shared" si="21"/>
        <v>496.79700000000003</v>
      </c>
      <c r="Z132" s="99">
        <f t="shared" si="22"/>
        <v>0</v>
      </c>
      <c r="AA132" s="99">
        <f t="shared" si="22"/>
        <v>0</v>
      </c>
      <c r="AB132" s="99">
        <f t="shared" si="23"/>
        <v>450</v>
      </c>
      <c r="AC132" s="99">
        <f t="shared" si="24"/>
        <v>46.797000000000025</v>
      </c>
      <c r="AD132" s="99">
        <f t="shared" si="24"/>
        <v>0</v>
      </c>
      <c r="AE132" s="110"/>
      <c r="AF132" s="105"/>
    </row>
    <row r="133" spans="1:34" s="85" customFormat="1" ht="38.25" customHeight="1" x14ac:dyDescent="0.3">
      <c r="A133" s="80" t="s">
        <v>256</v>
      </c>
      <c r="B133" s="81" t="s">
        <v>257</v>
      </c>
      <c r="C133" s="81"/>
      <c r="D133" s="82"/>
      <c r="E133" s="83"/>
      <c r="F133" s="83"/>
      <c r="G133" s="83"/>
      <c r="H133" s="84"/>
      <c r="I133" s="84"/>
      <c r="J133" s="84"/>
      <c r="K133" s="84"/>
      <c r="L133" s="84"/>
      <c r="M133" s="34">
        <f t="shared" si="19"/>
        <v>51109</v>
      </c>
      <c r="N133" s="84"/>
      <c r="O133" s="84"/>
      <c r="P133" s="84"/>
      <c r="Q133" s="84">
        <f>160327-109010-208</f>
        <v>51109</v>
      </c>
      <c r="R133" s="84"/>
      <c r="S133" s="34">
        <f t="shared" si="20"/>
        <v>0</v>
      </c>
      <c r="T133" s="84"/>
      <c r="U133" s="84"/>
      <c r="V133" s="84"/>
      <c r="W133" s="84"/>
      <c r="X133" s="84"/>
      <c r="Y133" s="34">
        <f t="shared" si="21"/>
        <v>51109</v>
      </c>
      <c r="Z133" s="84"/>
      <c r="AA133" s="84"/>
      <c r="AB133" s="84"/>
      <c r="AC133" s="14">
        <f>Q133</f>
        <v>51109</v>
      </c>
      <c r="AD133" s="84"/>
      <c r="AE133" s="84"/>
      <c r="AF133" s="82"/>
    </row>
  </sheetData>
  <autoFilter ref="A8:FU133"/>
  <mergeCells count="44">
    <mergeCell ref="A1:AE1"/>
    <mergeCell ref="A2:AE2"/>
    <mergeCell ref="A3:F3"/>
    <mergeCell ref="A4:A7"/>
    <mergeCell ref="B4:B7"/>
    <mergeCell ref="C4:C6"/>
    <mergeCell ref="D4:D7"/>
    <mergeCell ref="E4:F4"/>
    <mergeCell ref="G4:G7"/>
    <mergeCell ref="H4:L4"/>
    <mergeCell ref="E5:E7"/>
    <mergeCell ref="F5:F7"/>
    <mergeCell ref="H5:H7"/>
    <mergeCell ref="I5:L5"/>
    <mergeCell ref="M5:M7"/>
    <mergeCell ref="M4:R4"/>
    <mergeCell ref="S4:X4"/>
    <mergeCell ref="Y4:AD4"/>
    <mergeCell ref="AE4:AE7"/>
    <mergeCell ref="AF4:AF6"/>
    <mergeCell ref="Z5:AD5"/>
    <mergeCell ref="U6:U7"/>
    <mergeCell ref="AC6:AC7"/>
    <mergeCell ref="AD6:AD7"/>
    <mergeCell ref="Z6:Z7"/>
    <mergeCell ref="AA6:AA7"/>
    <mergeCell ref="AB6:AB7"/>
    <mergeCell ref="I6:I7"/>
    <mergeCell ref="J6:J7"/>
    <mergeCell ref="K6:K7"/>
    <mergeCell ref="L6:L7"/>
    <mergeCell ref="N6:N7"/>
    <mergeCell ref="N5:R5"/>
    <mergeCell ref="S5:S7"/>
    <mergeCell ref="T5:X5"/>
    <mergeCell ref="Y5:Y7"/>
    <mergeCell ref="O6:O7"/>
    <mergeCell ref="P6:P7"/>
    <mergeCell ref="Q6:Q7"/>
    <mergeCell ref="R6:R7"/>
    <mergeCell ref="T6:T7"/>
    <mergeCell ref="V6:V7"/>
    <mergeCell ref="W6:W7"/>
    <mergeCell ref="X6:X7"/>
  </mergeCells>
  <pageMargins left="0.23622047244094491" right="0.15748031496062992" top="0.35433070866141736" bottom="0.47244094488188981" header="0.31496062992125984" footer="0.31496062992125984"/>
  <pageSetup paperSize="9" scale="4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pl1</vt:lpstr>
      <vt:lpstr>PL2</vt:lpstr>
      <vt:lpstr>'pl1'!Print_Area</vt:lpstr>
      <vt:lpstr>'PL2'!Print_Area</vt:lpstr>
      <vt:lpstr>'pl1'!Print_Titles</vt:lpstr>
      <vt:lpstr>'PL2'!Print_Titles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11</cp:lastModifiedBy>
  <cp:lastPrinted>2026-03-26T08:20:22Z</cp:lastPrinted>
  <dcterms:created xsi:type="dcterms:W3CDTF">2025-12-15T04:30:04Z</dcterms:created>
  <dcterms:modified xsi:type="dcterms:W3CDTF">2026-03-26T08:20:35Z</dcterms:modified>
</cp:coreProperties>
</file>